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ya.shchetinina\Desktop\ЗАЯВКИ\Заявки 2025\Орел\162 Орел Монтаж панелей поз.29\"/>
    </mc:Choice>
  </mc:AlternateContent>
  <bookViews>
    <workbookView xWindow="0" yWindow="0" windowWidth="28800" windowHeight="12000" firstSheet="7" activeTab="7"/>
  </bookViews>
  <sheets>
    <sheet name="6.Ведомость_списания" sheetId="18" state="hidden" r:id="rId1"/>
    <sheet name="5.Ресурсный_расчет" sheetId="16" state="hidden" r:id="rId2"/>
    <sheet name="4.Оборудование" sheetId="14" state="hidden" r:id="rId3"/>
    <sheet name="3.Материалы" sheetId="12" state="hidden" r:id="rId4"/>
    <sheet name="2.Лок.смета.и.Акт в ЕР" sheetId="10" state="hidden" r:id="rId5"/>
    <sheet name="SourceOb.2" sheetId="9" state="hidden" r:id="rId6"/>
    <sheet name="1.Лок.смета.и.Акт" sheetId="7" state="hidden" r:id="rId7"/>
    <sheet name="ТЗ" sheetId="19" r:id="rId8"/>
    <sheet name="SourceOb.1" sheetId="6" state="hidden" r:id="rId9"/>
    <sheet name="Source" sheetId="1" state="hidden" r:id="rId10"/>
    <sheet name="SourceObSm" sheetId="2" state="hidden" r:id="rId11"/>
    <sheet name="SmtRes" sheetId="3" state="hidden" r:id="rId12"/>
    <sheet name="EtalonRes" sheetId="4" state="hidden" r:id="rId13"/>
  </sheets>
  <definedNames>
    <definedName name="_xlnm.Print_Titles" localSheetId="6">'1.Лок.смета.и.Акт'!$46:$46</definedName>
    <definedName name="_xlnm.Print_Titles" localSheetId="4">'2.Лок.смета.и.Акт в ЕР'!$46:$46</definedName>
    <definedName name="_xlnm.Print_Titles" localSheetId="3">'3.Материалы'!$20:$20</definedName>
    <definedName name="_xlnm.Print_Titles" localSheetId="2">'4.Оборудование'!$18:$18</definedName>
    <definedName name="_xlnm.Print_Titles" localSheetId="1">'5.Ресурсный_расчет'!$20:$20</definedName>
    <definedName name="_xlnm.Print_Titles" localSheetId="0">'6.Ведомость_списания'!$18:$18</definedName>
    <definedName name="_xlnm.Print_Area" localSheetId="6">'1.Лок.смета.и.Акт'!$A$1:$K$164</definedName>
    <definedName name="_xlnm.Print_Area" localSheetId="4">'2.Лок.смета.и.Акт в ЕР'!$A$1:$K$164</definedName>
    <definedName name="_xlnm.Print_Area" localSheetId="3">'3.Материалы'!$A$1:$G$34</definedName>
    <definedName name="_xlnm.Print_Area" localSheetId="2">'4.Оборудование'!$A$1:$G$32</definedName>
    <definedName name="_xlnm.Print_Area" localSheetId="1">'5.Ресурсный_расчет'!$A$1:$G$50</definedName>
    <definedName name="_xlnm.Print_Area" localSheetId="0">'6.Ведомость_списания'!$A$1:$K$37</definedName>
    <definedName name="_xlnm.Print_Area" localSheetId="7">ТЗ!$A$1:$G$106</definedName>
  </definedNames>
  <calcPr calcId="162913"/>
</workbook>
</file>

<file path=xl/calcChain.xml><?xml version="1.0" encoding="utf-8"?>
<calcChain xmlns="http://schemas.openxmlformats.org/spreadsheetml/2006/main">
  <c r="K138" i="10" l="1"/>
  <c r="K135" i="10"/>
  <c r="K130" i="10"/>
  <c r="K128" i="10"/>
  <c r="K107" i="10"/>
  <c r="K126" i="10"/>
  <c r="K125" i="10"/>
  <c r="K138" i="7"/>
  <c r="K135" i="7"/>
  <c r="K130" i="7"/>
  <c r="K128" i="7"/>
  <c r="K126" i="7"/>
  <c r="K125" i="7"/>
  <c r="K107" i="7"/>
  <c r="K124" i="7"/>
  <c r="BZ33" i="18" l="1"/>
  <c r="BY33" i="18"/>
  <c r="BZ30" i="18"/>
  <c r="BY30" i="18"/>
  <c r="BZ27" i="18"/>
  <c r="BY27" i="18"/>
  <c r="E24" i="18"/>
  <c r="E23" i="18"/>
  <c r="E22" i="18"/>
  <c r="E21" i="18"/>
  <c r="BU20" i="18"/>
  <c r="BU19" i="18"/>
  <c r="BT13" i="18"/>
  <c r="BS12" i="18"/>
  <c r="BS11" i="18"/>
  <c r="BR6" i="18"/>
  <c r="BR5" i="18"/>
  <c r="BR4" i="18"/>
  <c r="BR3" i="18"/>
  <c r="BZ46" i="16"/>
  <c r="BY46" i="16"/>
  <c r="BZ43" i="16"/>
  <c r="BY43" i="16"/>
  <c r="BZ40" i="16"/>
  <c r="BY40" i="16"/>
  <c r="G38" i="16"/>
  <c r="G37" i="16"/>
  <c r="G36" i="16"/>
  <c r="G34" i="16"/>
  <c r="L31" i="16"/>
  <c r="G31" i="16"/>
  <c r="G29" i="16"/>
  <c r="F29" i="16"/>
  <c r="G28" i="16"/>
  <c r="F28" i="16"/>
  <c r="G30" i="16"/>
  <c r="F30" i="16"/>
  <c r="G27" i="16"/>
  <c r="F27" i="16"/>
  <c r="DK14" i="3"/>
  <c r="DJ14" i="3"/>
  <c r="DI14" i="3"/>
  <c r="DH14" i="3"/>
  <c r="DK13" i="3"/>
  <c r="DJ13" i="3"/>
  <c r="DI13" i="3"/>
  <c r="DH13" i="3"/>
  <c r="DK10" i="3"/>
  <c r="DJ10" i="3"/>
  <c r="DI10" i="3"/>
  <c r="DH10" i="3"/>
  <c r="DK9" i="3"/>
  <c r="DJ9" i="3"/>
  <c r="DI9" i="3"/>
  <c r="DH9" i="3"/>
  <c r="DK6" i="3"/>
  <c r="DJ6" i="3"/>
  <c r="DI6" i="3"/>
  <c r="DH6" i="3"/>
  <c r="DK5" i="3"/>
  <c r="DJ5" i="3"/>
  <c r="DI5" i="3"/>
  <c r="DH5" i="3"/>
  <c r="DK4" i="3"/>
  <c r="DJ4" i="3"/>
  <c r="DI4" i="3"/>
  <c r="DH4" i="3"/>
  <c r="DK2" i="3"/>
  <c r="DJ2" i="3"/>
  <c r="DI2" i="3"/>
  <c r="DH2" i="3"/>
  <c r="K24" i="16"/>
  <c r="G24" i="16"/>
  <c r="G22" i="16"/>
  <c r="F22" i="16"/>
  <c r="G23" i="16"/>
  <c r="F23" i="16"/>
  <c r="DK16" i="3"/>
  <c r="DJ16" i="3"/>
  <c r="DI16" i="3"/>
  <c r="DH16" i="3"/>
  <c r="DK15" i="3"/>
  <c r="DJ15" i="3"/>
  <c r="DI15" i="3"/>
  <c r="DH15" i="3"/>
  <c r="DK12" i="3"/>
  <c r="DJ12" i="3"/>
  <c r="DI12" i="3"/>
  <c r="DH12" i="3"/>
  <c r="DK11" i="3"/>
  <c r="DJ11" i="3"/>
  <c r="DI11" i="3"/>
  <c r="DH11" i="3"/>
  <c r="DK8" i="3"/>
  <c r="DJ8" i="3"/>
  <c r="DI8" i="3"/>
  <c r="DH8" i="3"/>
  <c r="DK7" i="3"/>
  <c r="DJ7" i="3"/>
  <c r="DI7" i="3"/>
  <c r="DH7" i="3"/>
  <c r="DK3" i="3"/>
  <c r="DJ3" i="3"/>
  <c r="DI3" i="3"/>
  <c r="DH3" i="3"/>
  <c r="DK1" i="3"/>
  <c r="DJ1" i="3"/>
  <c r="DI1" i="3"/>
  <c r="DH1" i="3"/>
  <c r="BT13" i="16"/>
  <c r="BS12" i="16"/>
  <c r="BS11" i="16"/>
  <c r="BR6" i="16"/>
  <c r="BR5" i="16"/>
  <c r="BR4" i="16"/>
  <c r="BR3" i="16"/>
  <c r="BZ28" i="14"/>
  <c r="BY28" i="14"/>
  <c r="BZ25" i="14"/>
  <c r="BY25" i="14"/>
  <c r="BZ22" i="14"/>
  <c r="BY22" i="14"/>
  <c r="BS11" i="14"/>
  <c r="BR6" i="14"/>
  <c r="BR5" i="14"/>
  <c r="BR4" i="14"/>
  <c r="BR3" i="14"/>
  <c r="BZ30" i="12"/>
  <c r="BY30" i="12"/>
  <c r="BZ27" i="12"/>
  <c r="BY27" i="12"/>
  <c r="BZ24" i="12"/>
  <c r="BY24" i="12"/>
  <c r="BT13" i="12"/>
  <c r="BS12" i="12"/>
  <c r="BS11" i="12"/>
  <c r="BR6" i="12"/>
  <c r="BR5" i="12"/>
  <c r="BR4" i="12"/>
  <c r="BR3" i="12"/>
  <c r="BZ160" i="10"/>
  <c r="BY160" i="10"/>
  <c r="BZ157" i="10"/>
  <c r="BY157" i="10"/>
  <c r="BZ154" i="10"/>
  <c r="BY154" i="10"/>
  <c r="BZ148" i="10"/>
  <c r="BY148" i="10"/>
  <c r="BZ145" i="10"/>
  <c r="BY145" i="10"/>
  <c r="I137" i="10"/>
  <c r="I138" i="10" s="1"/>
  <c r="I140" i="10" s="1"/>
  <c r="I37" i="10" s="1"/>
  <c r="I135" i="10"/>
  <c r="I133" i="10"/>
  <c r="I132" i="10"/>
  <c r="I131" i="10"/>
  <c r="I130" i="10"/>
  <c r="I128" i="10"/>
  <c r="I126" i="10"/>
  <c r="I125" i="10"/>
  <c r="K124" i="10"/>
  <c r="I124" i="10"/>
  <c r="K122" i="10"/>
  <c r="I122" i="10"/>
  <c r="K121" i="10"/>
  <c r="I121" i="10"/>
  <c r="K120" i="10"/>
  <c r="I120" i="10"/>
  <c r="I119" i="10"/>
  <c r="I118" i="10"/>
  <c r="I117" i="10"/>
  <c r="I116" i="10"/>
  <c r="I115" i="10"/>
  <c r="I114" i="10"/>
  <c r="I113" i="10"/>
  <c r="K112" i="10"/>
  <c r="I112" i="10"/>
  <c r="I110" i="10"/>
  <c r="K109" i="10"/>
  <c r="I109" i="10"/>
  <c r="I107" i="10"/>
  <c r="K105" i="10"/>
  <c r="I105" i="10"/>
  <c r="K104" i="10"/>
  <c r="I104" i="10"/>
  <c r="K103" i="10"/>
  <c r="I103" i="10"/>
  <c r="K102" i="10"/>
  <c r="I102" i="10"/>
  <c r="K101" i="10"/>
  <c r="I101" i="10"/>
  <c r="K100" i="10"/>
  <c r="I100" i="10"/>
  <c r="K99" i="10"/>
  <c r="I99" i="10"/>
  <c r="K98" i="10"/>
  <c r="I98" i="10"/>
  <c r="K97" i="10"/>
  <c r="I97" i="10"/>
  <c r="K96" i="10"/>
  <c r="I96" i="10"/>
  <c r="K95" i="10"/>
  <c r="I95" i="10"/>
  <c r="K94" i="10"/>
  <c r="I94" i="10"/>
  <c r="K93" i="10"/>
  <c r="I93" i="10"/>
  <c r="K92" i="10"/>
  <c r="I92" i="10"/>
  <c r="K91" i="10"/>
  <c r="I91" i="10"/>
  <c r="K90" i="10"/>
  <c r="I90" i="10"/>
  <c r="K88" i="10"/>
  <c r="I88" i="10"/>
  <c r="I86" i="10"/>
  <c r="K84" i="10"/>
  <c r="I84" i="10"/>
  <c r="K83" i="10"/>
  <c r="I83" i="10"/>
  <c r="J38" i="10"/>
  <c r="I38" i="10"/>
  <c r="J39" i="10"/>
  <c r="I39" i="10"/>
  <c r="Q80" i="10"/>
  <c r="I80" i="10"/>
  <c r="P80" i="10"/>
  <c r="IU14" i="9"/>
  <c r="IT14" i="9"/>
  <c r="IS14" i="9"/>
  <c r="IR14" i="9"/>
  <c r="IQ14" i="9"/>
  <c r="IP14" i="9"/>
  <c r="IO14" i="9"/>
  <c r="IN14" i="9"/>
  <c r="GG14" i="9"/>
  <c r="GF14" i="9"/>
  <c r="GE14" i="9"/>
  <c r="GD14" i="9"/>
  <c r="GC14" i="9"/>
  <c r="GB14" i="9"/>
  <c r="GA14" i="9"/>
  <c r="FZ14" i="9"/>
  <c r="FY14" i="9"/>
  <c r="FX14" i="9"/>
  <c r="IM14" i="9"/>
  <c r="IL14" i="9"/>
  <c r="IK14" i="9"/>
  <c r="IJ14" i="9"/>
  <c r="II14" i="9"/>
  <c r="IH14" i="9"/>
  <c r="IG14" i="9"/>
  <c r="IF14" i="9"/>
  <c r="IE14" i="9"/>
  <c r="ID14" i="9"/>
  <c r="IC14" i="9"/>
  <c r="IB14" i="9"/>
  <c r="FW14" i="9"/>
  <c r="FV14" i="9"/>
  <c r="FU14" i="9"/>
  <c r="FT14" i="9"/>
  <c r="FS14" i="9"/>
  <c r="FR14" i="9"/>
  <c r="FQ14" i="9"/>
  <c r="FP14" i="9"/>
  <c r="FO14" i="9"/>
  <c r="FN14" i="9"/>
  <c r="FM14" i="9"/>
  <c r="FL14" i="9"/>
  <c r="FK14" i="9"/>
  <c r="FJ14" i="9"/>
  <c r="FI14" i="9"/>
  <c r="FH14" i="9"/>
  <c r="FG14" i="9"/>
  <c r="FF14" i="9"/>
  <c r="FE14" i="9"/>
  <c r="FD14" i="9"/>
  <c r="FC14" i="9"/>
  <c r="FB14" i="9"/>
  <c r="FA14" i="9"/>
  <c r="EZ14" i="9"/>
  <c r="EY14" i="9"/>
  <c r="EX14" i="9"/>
  <c r="EW14" i="9"/>
  <c r="EV14" i="9"/>
  <c r="EU14" i="9"/>
  <c r="ET14" i="9"/>
  <c r="IU80" i="10"/>
  <c r="IT80" i="10"/>
  <c r="IS80" i="10"/>
  <c r="IR80" i="10"/>
  <c r="IQ80" i="10"/>
  <c r="IP80" i="10"/>
  <c r="IO80" i="10"/>
  <c r="IN80" i="10"/>
  <c r="GG80" i="10"/>
  <c r="GF80" i="10"/>
  <c r="GE80" i="10"/>
  <c r="GD80" i="10"/>
  <c r="GC80" i="10"/>
  <c r="GB80" i="10"/>
  <c r="GA80" i="10"/>
  <c r="FZ80" i="10"/>
  <c r="FY80" i="10"/>
  <c r="FX80" i="10"/>
  <c r="IM80" i="10"/>
  <c r="IL80" i="10"/>
  <c r="IK80" i="10"/>
  <c r="IJ80" i="10"/>
  <c r="II80" i="10"/>
  <c r="IH80" i="10"/>
  <c r="IG80" i="10"/>
  <c r="IF80" i="10"/>
  <c r="IE80" i="10"/>
  <c r="ID80" i="10"/>
  <c r="IC80" i="10"/>
  <c r="IB80" i="10"/>
  <c r="FW80" i="10"/>
  <c r="FV80" i="10"/>
  <c r="FU80" i="10"/>
  <c r="FT80" i="10"/>
  <c r="FS80" i="10"/>
  <c r="FR80" i="10"/>
  <c r="FQ80" i="10"/>
  <c r="FP80" i="10"/>
  <c r="FO80" i="10"/>
  <c r="FN80" i="10"/>
  <c r="FM80" i="10"/>
  <c r="FL80" i="10"/>
  <c r="FK80" i="10"/>
  <c r="FJ80" i="10"/>
  <c r="FI80" i="10"/>
  <c r="FH80" i="10"/>
  <c r="FG80" i="10"/>
  <c r="FF80" i="10"/>
  <c r="FE80" i="10"/>
  <c r="FD80" i="10"/>
  <c r="FC80" i="10"/>
  <c r="FB80" i="10"/>
  <c r="FA80" i="10"/>
  <c r="EZ80" i="10"/>
  <c r="EY80" i="10"/>
  <c r="EX80" i="10"/>
  <c r="EW80" i="10"/>
  <c r="EV80" i="10"/>
  <c r="EU80" i="10"/>
  <c r="ET80" i="10"/>
  <c r="ER80" i="10"/>
  <c r="EQ80" i="10"/>
  <c r="EP80" i="10"/>
  <c r="EO80" i="10"/>
  <c r="EN80" i="10"/>
  <c r="EM80" i="10"/>
  <c r="EL80" i="10"/>
  <c r="EK80" i="10"/>
  <c r="EJ80" i="10"/>
  <c r="EI80" i="10"/>
  <c r="EH80" i="10"/>
  <c r="EG80" i="10"/>
  <c r="EF80" i="10"/>
  <c r="EE80" i="10"/>
  <c r="ED80" i="10"/>
  <c r="EC80" i="10"/>
  <c r="BP80" i="9"/>
  <c r="BO80" i="9"/>
  <c r="BN80" i="9"/>
  <c r="BM80" i="9"/>
  <c r="BL80" i="9"/>
  <c r="BK80" i="9"/>
  <c r="BJ80" i="9"/>
  <c r="BI80" i="9"/>
  <c r="BH80" i="9"/>
  <c r="BG80" i="9"/>
  <c r="BF80" i="9"/>
  <c r="BE80" i="9"/>
  <c r="BD14" i="9"/>
  <c r="BC14" i="9"/>
  <c r="BB14" i="9"/>
  <c r="BA14" i="9"/>
  <c r="AZ14" i="9"/>
  <c r="AY14" i="9"/>
  <c r="DZ14" i="9"/>
  <c r="DY14" i="9"/>
  <c r="DX14" i="9"/>
  <c r="DW14" i="9"/>
  <c r="DO14" i="9"/>
  <c r="DN14" i="9"/>
  <c r="DM14" i="9"/>
  <c r="DL14" i="9"/>
  <c r="DD14" i="9"/>
  <c r="DB14" i="9"/>
  <c r="DA14" i="9"/>
  <c r="CZ14" i="9"/>
  <c r="CX14" i="9"/>
  <c r="CW14" i="9"/>
  <c r="BP80" i="10"/>
  <c r="BO80" i="10"/>
  <c r="BN80" i="10"/>
  <c r="BM80" i="10"/>
  <c r="BL80" i="10"/>
  <c r="BK80" i="10"/>
  <c r="BJ80" i="10"/>
  <c r="BI80" i="10"/>
  <c r="BH80" i="10"/>
  <c r="BG80" i="10"/>
  <c r="BF80" i="10"/>
  <c r="BE80" i="10"/>
  <c r="BD80" i="10"/>
  <c r="BC80" i="10"/>
  <c r="BB80" i="10"/>
  <c r="BA80" i="10"/>
  <c r="AZ80" i="10"/>
  <c r="AY80" i="10"/>
  <c r="DZ80" i="10"/>
  <c r="DY80" i="10"/>
  <c r="DX80" i="10"/>
  <c r="DW80" i="10"/>
  <c r="DO80" i="10"/>
  <c r="DN80" i="10"/>
  <c r="DM80" i="10"/>
  <c r="DL80" i="10"/>
  <c r="DD80" i="10"/>
  <c r="DB80" i="10"/>
  <c r="DA80" i="10"/>
  <c r="CZ80" i="10"/>
  <c r="CX80" i="10"/>
  <c r="CW80" i="10"/>
  <c r="CU80" i="10"/>
  <c r="CT80" i="10"/>
  <c r="CS80" i="10"/>
  <c r="CR80" i="10"/>
  <c r="CQ80" i="10"/>
  <c r="CP80" i="10"/>
  <c r="CO80" i="10"/>
  <c r="CN80" i="10"/>
  <c r="CM80" i="10"/>
  <c r="CL80" i="10"/>
  <c r="CK80" i="10"/>
  <c r="CJ80" i="10"/>
  <c r="CI80" i="10"/>
  <c r="CH80" i="10"/>
  <c r="CG80" i="10"/>
  <c r="CF80" i="10"/>
  <c r="AN78" i="10"/>
  <c r="EW32" i="1"/>
  <c r="AQ32" i="1"/>
  <c r="DO32" i="1"/>
  <c r="DN32" i="1"/>
  <c r="BA32" i="1"/>
  <c r="EV32" i="1"/>
  <c r="ER32" i="1" s="1"/>
  <c r="AO32" i="1"/>
  <c r="AK32" i="1" s="1"/>
  <c r="F72" i="7" s="1"/>
  <c r="I32" i="1"/>
  <c r="B73" i="10" s="1"/>
  <c r="I31" i="1"/>
  <c r="DW32" i="1"/>
  <c r="AN70" i="10"/>
  <c r="EW30" i="1"/>
  <c r="AQ30" i="1"/>
  <c r="DO30" i="1"/>
  <c r="DN30" i="1"/>
  <c r="BS30" i="1"/>
  <c r="EU30" i="1"/>
  <c r="AN30" i="1"/>
  <c r="BB30" i="1"/>
  <c r="ET30" i="1"/>
  <c r="AM30" i="1"/>
  <c r="BA30" i="1"/>
  <c r="EV30" i="1"/>
  <c r="AO30" i="1"/>
  <c r="I30" i="1"/>
  <c r="I29" i="1"/>
  <c r="DW30" i="1"/>
  <c r="AN61" i="10"/>
  <c r="BB28" i="1"/>
  <c r="ET28" i="1"/>
  <c r="ER28" i="1" s="1"/>
  <c r="AM28" i="1"/>
  <c r="AK28" i="1" s="1"/>
  <c r="F58" i="10" s="1"/>
  <c r="I28" i="1"/>
  <c r="C59" i="10" s="1"/>
  <c r="I27" i="1"/>
  <c r="DW28" i="1"/>
  <c r="AN56" i="10"/>
  <c r="DO26" i="1"/>
  <c r="DN26" i="1"/>
  <c r="BS26" i="1"/>
  <c r="EU26" i="1"/>
  <c r="AN26" i="1"/>
  <c r="BB26" i="1"/>
  <c r="ET26" i="1"/>
  <c r="ER26" i="1" s="1"/>
  <c r="AM26" i="1"/>
  <c r="AK26" i="1" s="1"/>
  <c r="F50" i="7" s="1"/>
  <c r="I26" i="1"/>
  <c r="B51" i="10" s="1"/>
  <c r="I25" i="1"/>
  <c r="DW26" i="1"/>
  <c r="BX48" i="10"/>
  <c r="BT35" i="10"/>
  <c r="BV34" i="10"/>
  <c r="BT31" i="10"/>
  <c r="BT30" i="10"/>
  <c r="BT29" i="10"/>
  <c r="BU23" i="10"/>
  <c r="BW14" i="10"/>
  <c r="BS13" i="10"/>
  <c r="BS12" i="10"/>
  <c r="BS11" i="10"/>
  <c r="BR10" i="10"/>
  <c r="BR9" i="10"/>
  <c r="BR8" i="10"/>
  <c r="BR7" i="10"/>
  <c r="BZ160" i="7"/>
  <c r="BY160" i="7"/>
  <c r="BZ157" i="7"/>
  <c r="BY157" i="7"/>
  <c r="BZ154" i="7"/>
  <c r="BY154" i="7"/>
  <c r="BZ148" i="7"/>
  <c r="BY148" i="7"/>
  <c r="BZ145" i="7"/>
  <c r="BY145" i="7"/>
  <c r="I133" i="7"/>
  <c r="I132" i="7"/>
  <c r="I131" i="7"/>
  <c r="I121" i="7"/>
  <c r="I120" i="7"/>
  <c r="I119" i="7"/>
  <c r="I118" i="7"/>
  <c r="I117" i="7"/>
  <c r="I116" i="7"/>
  <c r="I115" i="7"/>
  <c r="I114" i="7"/>
  <c r="I113" i="7"/>
  <c r="K112" i="7"/>
  <c r="I112" i="7"/>
  <c r="I110" i="7"/>
  <c r="IU14" i="6"/>
  <c r="IT14" i="6"/>
  <c r="IS14" i="6"/>
  <c r="IQ14" i="6"/>
  <c r="IP14" i="6"/>
  <c r="IO14" i="6"/>
  <c r="GG14" i="6"/>
  <c r="GF14" i="6"/>
  <c r="GE14" i="6"/>
  <c r="GD14" i="6"/>
  <c r="GC14" i="6"/>
  <c r="GA14" i="6"/>
  <c r="FZ14" i="6"/>
  <c r="FY14" i="6"/>
  <c r="IM14" i="6"/>
  <c r="IL14" i="6"/>
  <c r="IK14" i="6"/>
  <c r="IJ14" i="6"/>
  <c r="IG14" i="6"/>
  <c r="IF14" i="6"/>
  <c r="IE14" i="6"/>
  <c r="ID14" i="6"/>
  <c r="IC14" i="6"/>
  <c r="FV14" i="6"/>
  <c r="FU14" i="6"/>
  <c r="FT14" i="6"/>
  <c r="FS14" i="6"/>
  <c r="FQ14" i="6"/>
  <c r="FP14" i="6"/>
  <c r="FO14" i="6"/>
  <c r="FJ14" i="6"/>
  <c r="FI14" i="6"/>
  <c r="FH14" i="6"/>
  <c r="FG14" i="6"/>
  <c r="FF14" i="6"/>
  <c r="FE14" i="6"/>
  <c r="FD14" i="6"/>
  <c r="FC14" i="6"/>
  <c r="FB14" i="6"/>
  <c r="FA14" i="6"/>
  <c r="EZ14" i="6"/>
  <c r="IU80" i="7"/>
  <c r="IT80" i="7"/>
  <c r="IS80" i="7"/>
  <c r="IQ80" i="7"/>
  <c r="IP80" i="7"/>
  <c r="IO80" i="7"/>
  <c r="GG80" i="7"/>
  <c r="GF80" i="7"/>
  <c r="GE80" i="7"/>
  <c r="GD80" i="7"/>
  <c r="GC80" i="7"/>
  <c r="GA80" i="7"/>
  <c r="FZ80" i="7"/>
  <c r="FY80" i="7"/>
  <c r="IM80" i="7"/>
  <c r="IL80" i="7"/>
  <c r="IK80" i="7"/>
  <c r="IJ80" i="7"/>
  <c r="IG80" i="7"/>
  <c r="IF80" i="7"/>
  <c r="IE80" i="7"/>
  <c r="ID80" i="7"/>
  <c r="IC80" i="7"/>
  <c r="FV80" i="7"/>
  <c r="FU80" i="7"/>
  <c r="FT80" i="7"/>
  <c r="FS80" i="7"/>
  <c r="FQ80" i="7"/>
  <c r="FP80" i="7"/>
  <c r="FO80" i="7"/>
  <c r="FJ80" i="7"/>
  <c r="FI80" i="7"/>
  <c r="FH80" i="7"/>
  <c r="FG80" i="7"/>
  <c r="FF80" i="7"/>
  <c r="FE80" i="7"/>
  <c r="FD80" i="7"/>
  <c r="FC80" i="7"/>
  <c r="FB80" i="7"/>
  <c r="FA80" i="7"/>
  <c r="EZ80" i="7"/>
  <c r="ER80" i="7"/>
  <c r="I105" i="7" s="1"/>
  <c r="EQ80" i="7"/>
  <c r="I104" i="7" s="1"/>
  <c r="EP80" i="7"/>
  <c r="I103" i="7" s="1"/>
  <c r="EO80" i="7"/>
  <c r="I102" i="7" s="1"/>
  <c r="EN80" i="7"/>
  <c r="I101" i="7" s="1"/>
  <c r="EM80" i="7"/>
  <c r="I100" i="7" s="1"/>
  <c r="EK80" i="7"/>
  <c r="I98" i="7" s="1"/>
  <c r="EJ80" i="7"/>
  <c r="I97" i="7" s="1"/>
  <c r="EI80" i="7"/>
  <c r="I96" i="7" s="1"/>
  <c r="EH80" i="7"/>
  <c r="I95" i="7" s="1"/>
  <c r="EG80" i="7"/>
  <c r="I94" i="7" s="1"/>
  <c r="EF80" i="7"/>
  <c r="I93" i="7" s="1"/>
  <c r="EE80" i="7"/>
  <c r="I92" i="7" s="1"/>
  <c r="ED80" i="7"/>
  <c r="I91" i="7" s="1"/>
  <c r="EC80" i="7"/>
  <c r="I90" i="7" s="1"/>
  <c r="BP80" i="6"/>
  <c r="BO80" i="6"/>
  <c r="BN80" i="6"/>
  <c r="BM80" i="6"/>
  <c r="BL80" i="6"/>
  <c r="BK80" i="6"/>
  <c r="BJ80" i="6"/>
  <c r="BI80" i="6"/>
  <c r="BH80" i="6"/>
  <c r="BG80" i="6"/>
  <c r="BF80" i="6"/>
  <c r="BE80" i="6"/>
  <c r="BD14" i="6"/>
  <c r="BC14" i="6"/>
  <c r="BB14" i="6"/>
  <c r="BA14" i="6"/>
  <c r="AZ14" i="6"/>
  <c r="AY14" i="6"/>
  <c r="DY14" i="6"/>
  <c r="DX14" i="6"/>
  <c r="DD14" i="6"/>
  <c r="BP80" i="7"/>
  <c r="BO80" i="7"/>
  <c r="BN80" i="7"/>
  <c r="BM80" i="7"/>
  <c r="BL80" i="7"/>
  <c r="BK80" i="7"/>
  <c r="BJ80" i="7"/>
  <c r="BI80" i="7"/>
  <c r="BH80" i="7"/>
  <c r="BG80" i="7"/>
  <c r="BF80" i="7"/>
  <c r="BE80" i="7"/>
  <c r="BD80" i="7"/>
  <c r="BC80" i="7"/>
  <c r="BB80" i="7"/>
  <c r="BA80" i="7"/>
  <c r="AZ80" i="7"/>
  <c r="AY80" i="7"/>
  <c r="DY80" i="7"/>
  <c r="DX80" i="7"/>
  <c r="DD80" i="7"/>
  <c r="CU80" i="7"/>
  <c r="K105" i="7" s="1"/>
  <c r="CT80" i="7"/>
  <c r="K104" i="7" s="1"/>
  <c r="CS80" i="7"/>
  <c r="K103" i="7" s="1"/>
  <c r="CR80" i="7"/>
  <c r="K102" i="7" s="1"/>
  <c r="CQ80" i="7"/>
  <c r="K101" i="7" s="1"/>
  <c r="CP80" i="7"/>
  <c r="K100" i="7" s="1"/>
  <c r="CN80" i="7"/>
  <c r="K98" i="7" s="1"/>
  <c r="CM80" i="7"/>
  <c r="K97" i="7" s="1"/>
  <c r="CL80" i="7"/>
  <c r="K96" i="7" s="1"/>
  <c r="CK80" i="7"/>
  <c r="K95" i="7" s="1"/>
  <c r="CJ80" i="7"/>
  <c r="K94" i="7" s="1"/>
  <c r="CI80" i="7"/>
  <c r="K93" i="7" s="1"/>
  <c r="CH80" i="7"/>
  <c r="K92" i="7" s="1"/>
  <c r="CG80" i="7"/>
  <c r="K91" i="7" s="1"/>
  <c r="CF80" i="7"/>
  <c r="K90" i="7" s="1"/>
  <c r="AN78" i="7"/>
  <c r="AN70" i="7"/>
  <c r="AN61" i="7"/>
  <c r="AN56" i="7"/>
  <c r="BX48" i="7"/>
  <c r="BT35" i="7"/>
  <c r="BV34" i="7"/>
  <c r="BT31" i="7"/>
  <c r="BT30" i="7"/>
  <c r="BT29" i="7"/>
  <c r="BU23" i="7"/>
  <c r="BW14" i="7"/>
  <c r="BS13" i="7"/>
  <c r="BS12" i="7"/>
  <c r="BS11" i="7"/>
  <c r="BR10" i="7"/>
  <c r="BR9" i="7"/>
  <c r="BR8" i="7"/>
  <c r="BR7" i="7"/>
  <c r="C51" i="7" l="1"/>
  <c r="C73" i="7"/>
  <c r="C73" i="10"/>
  <c r="F72" i="10"/>
  <c r="ER30" i="1"/>
  <c r="AK30" i="1"/>
  <c r="F63" i="10" s="1"/>
  <c r="B59" i="7"/>
  <c r="B59" i="10"/>
  <c r="F58" i="7"/>
  <c r="C51" i="10"/>
  <c r="F50" i="10"/>
  <c r="B73" i="7"/>
  <c r="C59" i="7"/>
  <c r="B51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" i="3"/>
  <c r="CY1" i="3"/>
  <c r="CZ1" i="3"/>
  <c r="DA1" i="3"/>
  <c r="DB1" i="3"/>
  <c r="DC1" i="3"/>
  <c r="A2" i="3"/>
  <c r="CY2" i="3"/>
  <c r="CZ2" i="3"/>
  <c r="DB2" i="3" s="1"/>
  <c r="DA2" i="3"/>
  <c r="DC2" i="3"/>
  <c r="A3" i="3"/>
  <c r="CY3" i="3"/>
  <c r="CZ3" i="3"/>
  <c r="DB3" i="3" s="1"/>
  <c r="DA3" i="3"/>
  <c r="DC3" i="3"/>
  <c r="A4" i="3"/>
  <c r="CY4" i="3"/>
  <c r="CZ4" i="3"/>
  <c r="DA4" i="3"/>
  <c r="DB4" i="3"/>
  <c r="DC4" i="3"/>
  <c r="A5" i="3"/>
  <c r="CY5" i="3"/>
  <c r="CZ5" i="3"/>
  <c r="DA5" i="3"/>
  <c r="DB5" i="3"/>
  <c r="DC5" i="3"/>
  <c r="A6" i="3"/>
  <c r="CY6" i="3"/>
  <c r="CZ6" i="3"/>
  <c r="DB6" i="3" s="1"/>
  <c r="DA6" i="3"/>
  <c r="DC6" i="3"/>
  <c r="A7" i="3"/>
  <c r="CY7" i="3"/>
  <c r="CZ7" i="3"/>
  <c r="DB7" i="3" s="1"/>
  <c r="DA7" i="3"/>
  <c r="DC7" i="3"/>
  <c r="A8" i="3"/>
  <c r="CY8" i="3"/>
  <c r="CZ8" i="3"/>
  <c r="DA8" i="3"/>
  <c r="DB8" i="3"/>
  <c r="DC8" i="3"/>
  <c r="A9" i="3"/>
  <c r="CY9" i="3"/>
  <c r="CZ9" i="3"/>
  <c r="DA9" i="3"/>
  <c r="DB9" i="3"/>
  <c r="DC9" i="3"/>
  <c r="A10" i="3"/>
  <c r="CY10" i="3"/>
  <c r="CZ10" i="3"/>
  <c r="DB10" i="3" s="1"/>
  <c r="DA10" i="3"/>
  <c r="DC10" i="3"/>
  <c r="A11" i="3"/>
  <c r="CY11" i="3"/>
  <c r="CZ11" i="3"/>
  <c r="DB11" i="3" s="1"/>
  <c r="DA11" i="3"/>
  <c r="DC11" i="3"/>
  <c r="A12" i="3"/>
  <c r="CY12" i="3"/>
  <c r="CZ12" i="3"/>
  <c r="DA12" i="3"/>
  <c r="DB12" i="3"/>
  <c r="DC12" i="3"/>
  <c r="A13" i="3"/>
  <c r="CY13" i="3"/>
  <c r="CZ13" i="3"/>
  <c r="DA13" i="3"/>
  <c r="DB13" i="3"/>
  <c r="DC13" i="3"/>
  <c r="A14" i="3"/>
  <c r="CY14" i="3"/>
  <c r="CZ14" i="3"/>
  <c r="DB14" i="3" s="1"/>
  <c r="DA14" i="3"/>
  <c r="DC14" i="3"/>
  <c r="A15" i="3"/>
  <c r="CY15" i="3"/>
  <c r="CZ15" i="3"/>
  <c r="DB15" i="3" s="1"/>
  <c r="DA15" i="3"/>
  <c r="DC15" i="3"/>
  <c r="A16" i="3"/>
  <c r="CY16" i="3"/>
  <c r="CZ16" i="3"/>
  <c r="DA16" i="3"/>
  <c r="DB16" i="3"/>
  <c r="DC1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5" i="1"/>
  <c r="D25" i="1"/>
  <c r="CX2" i="3"/>
  <c r="K25" i="1"/>
  <c r="AC25" i="1"/>
  <c r="CQ25" i="1" s="1"/>
  <c r="P25" i="1" s="1"/>
  <c r="AE25" i="1"/>
  <c r="AD25" i="1" s="1"/>
  <c r="AF25" i="1"/>
  <c r="AG25" i="1"/>
  <c r="CU25" i="1" s="1"/>
  <c r="T25" i="1" s="1"/>
  <c r="AH25" i="1"/>
  <c r="AI25" i="1"/>
  <c r="AJ25" i="1"/>
  <c r="CS25" i="1"/>
  <c r="R25" i="1" s="1"/>
  <c r="CT25" i="1"/>
  <c r="S25" i="1" s="1"/>
  <c r="CV25" i="1"/>
  <c r="U25" i="1" s="1"/>
  <c r="CW25" i="1"/>
  <c r="V25" i="1" s="1"/>
  <c r="CX25" i="1"/>
  <c r="W25" i="1" s="1"/>
  <c r="FR25" i="1"/>
  <c r="GL25" i="1"/>
  <c r="GO25" i="1"/>
  <c r="GP25" i="1"/>
  <c r="GV25" i="1"/>
  <c r="HC25" i="1"/>
  <c r="GX25" i="1" s="1"/>
  <c r="C26" i="1"/>
  <c r="D26" i="1"/>
  <c r="CX4" i="3"/>
  <c r="K26" i="1"/>
  <c r="AC26" i="1"/>
  <c r="CQ26" i="1" s="1"/>
  <c r="P26" i="1" s="1"/>
  <c r="AE26" i="1"/>
  <c r="AF26" i="1"/>
  <c r="AG26" i="1"/>
  <c r="CU26" i="1" s="1"/>
  <c r="T26" i="1" s="1"/>
  <c r="AH26" i="1"/>
  <c r="AI26" i="1"/>
  <c r="AJ26" i="1"/>
  <c r="CT26" i="1"/>
  <c r="S26" i="1" s="1"/>
  <c r="CV26" i="1"/>
  <c r="U26" i="1" s="1"/>
  <c r="CW26" i="1"/>
  <c r="V26" i="1" s="1"/>
  <c r="CX26" i="1"/>
  <c r="W26" i="1" s="1"/>
  <c r="FR26" i="1"/>
  <c r="GL26" i="1"/>
  <c r="GO26" i="1"/>
  <c r="GP26" i="1"/>
  <c r="GV26" i="1"/>
  <c r="HC26" i="1"/>
  <c r="GX26" i="1" s="1"/>
  <c r="C27" i="1"/>
  <c r="D27" i="1"/>
  <c r="CX5" i="3"/>
  <c r="K27" i="1"/>
  <c r="S27" i="1"/>
  <c r="U27" i="1"/>
  <c r="AC27" i="1"/>
  <c r="CQ27" i="1" s="1"/>
  <c r="AD27" i="1"/>
  <c r="AE27" i="1"/>
  <c r="AF27" i="1"/>
  <c r="AB27" i="1" s="1"/>
  <c r="AG27" i="1"/>
  <c r="CU27" i="1" s="1"/>
  <c r="AH27" i="1"/>
  <c r="AI27" i="1"/>
  <c r="CW27" i="1" s="1"/>
  <c r="V27" i="1" s="1"/>
  <c r="AJ27" i="1"/>
  <c r="CR27" i="1"/>
  <c r="Q27" i="1" s="1"/>
  <c r="CS27" i="1"/>
  <c r="R27" i="1" s="1"/>
  <c r="CT27" i="1"/>
  <c r="CV27" i="1"/>
  <c r="CX27" i="1"/>
  <c r="W27" i="1" s="1"/>
  <c r="FR27" i="1"/>
  <c r="GL27" i="1"/>
  <c r="GO27" i="1"/>
  <c r="GP27" i="1"/>
  <c r="GV27" i="1"/>
  <c r="GX27" i="1"/>
  <c r="HC27" i="1"/>
  <c r="C28" i="1"/>
  <c r="D28" i="1"/>
  <c r="CX6" i="3"/>
  <c r="K28" i="1"/>
  <c r="R28" i="1"/>
  <c r="V28" i="1"/>
  <c r="AC28" i="1"/>
  <c r="AD28" i="1"/>
  <c r="AE28" i="1"/>
  <c r="AF28" i="1"/>
  <c r="CT28" i="1" s="1"/>
  <c r="AG28" i="1"/>
  <c r="AH28" i="1"/>
  <c r="AI28" i="1"/>
  <c r="AJ28" i="1"/>
  <c r="CX28" i="1" s="1"/>
  <c r="W28" i="1" s="1"/>
  <c r="CQ28" i="1"/>
  <c r="P28" i="1" s="1"/>
  <c r="CS28" i="1"/>
  <c r="CU28" i="1"/>
  <c r="T28" i="1" s="1"/>
  <c r="CV28" i="1"/>
  <c r="U28" i="1" s="1"/>
  <c r="CW28" i="1"/>
  <c r="FR28" i="1"/>
  <c r="GL28" i="1"/>
  <c r="GO28" i="1"/>
  <c r="GP28" i="1"/>
  <c r="GV28" i="1"/>
  <c r="HC28" i="1"/>
  <c r="GX28" i="1" s="1"/>
  <c r="C29" i="1"/>
  <c r="D29" i="1"/>
  <c r="S29" i="1"/>
  <c r="K29" i="1"/>
  <c r="AC29" i="1"/>
  <c r="CQ29" i="1" s="1"/>
  <c r="AE29" i="1"/>
  <c r="CS29" i="1" s="1"/>
  <c r="AF29" i="1"/>
  <c r="AG29" i="1"/>
  <c r="AH29" i="1"/>
  <c r="AI29" i="1"/>
  <c r="AJ29" i="1"/>
  <c r="CT29" i="1"/>
  <c r="CU29" i="1"/>
  <c r="CV29" i="1"/>
  <c r="CW29" i="1"/>
  <c r="CX29" i="1"/>
  <c r="FR29" i="1"/>
  <c r="GL29" i="1"/>
  <c r="GO29" i="1"/>
  <c r="GP29" i="1"/>
  <c r="GV29" i="1"/>
  <c r="HC29" i="1"/>
  <c r="C30" i="1"/>
  <c r="D30" i="1"/>
  <c r="K30" i="1"/>
  <c r="AC30" i="1"/>
  <c r="CQ30" i="1" s="1"/>
  <c r="AE30" i="1"/>
  <c r="AF30" i="1"/>
  <c r="AG30" i="1"/>
  <c r="CU30" i="1" s="1"/>
  <c r="AH30" i="1"/>
  <c r="AI30" i="1"/>
  <c r="AJ30" i="1"/>
  <c r="CX30" i="1" s="1"/>
  <c r="W30" i="1" s="1"/>
  <c r="CW30" i="1"/>
  <c r="FR30" i="1"/>
  <c r="GL30" i="1"/>
  <c r="GO30" i="1"/>
  <c r="GP30" i="1"/>
  <c r="GV30" i="1"/>
  <c r="HC30" i="1"/>
  <c r="C31" i="1"/>
  <c r="D31" i="1"/>
  <c r="CX15" i="3"/>
  <c r="K31" i="1"/>
  <c r="AC31" i="1"/>
  <c r="CQ31" i="1" s="1"/>
  <c r="P31" i="1" s="1"/>
  <c r="AE31" i="1"/>
  <c r="AD31" i="1" s="1"/>
  <c r="AF31" i="1"/>
  <c r="CT31" i="1" s="1"/>
  <c r="S31" i="1" s="1"/>
  <c r="AG31" i="1"/>
  <c r="CU31" i="1" s="1"/>
  <c r="T31" i="1" s="1"/>
  <c r="AH31" i="1"/>
  <c r="AI31" i="1"/>
  <c r="AJ31" i="1"/>
  <c r="CX31" i="1" s="1"/>
  <c r="W31" i="1" s="1"/>
  <c r="CS31" i="1"/>
  <c r="R31" i="1" s="1"/>
  <c r="CV31" i="1"/>
  <c r="U31" i="1" s="1"/>
  <c r="CW31" i="1"/>
  <c r="V31" i="1" s="1"/>
  <c r="FR31" i="1"/>
  <c r="GL31" i="1"/>
  <c r="GO31" i="1"/>
  <c r="GP31" i="1"/>
  <c r="GV31" i="1"/>
  <c r="HC31" i="1"/>
  <c r="GX31" i="1" s="1"/>
  <c r="C32" i="1"/>
  <c r="D32" i="1"/>
  <c r="CX16" i="3"/>
  <c r="K32" i="1"/>
  <c r="AC32" i="1"/>
  <c r="CQ32" i="1" s="1"/>
  <c r="P32" i="1" s="1"/>
  <c r="AE32" i="1"/>
  <c r="AD32" i="1" s="1"/>
  <c r="AF32" i="1"/>
  <c r="AG32" i="1"/>
  <c r="CU32" i="1" s="1"/>
  <c r="T32" i="1" s="1"/>
  <c r="AH32" i="1"/>
  <c r="H77" i="10" s="1"/>
  <c r="AI32" i="1"/>
  <c r="AJ32" i="1"/>
  <c r="CX32" i="1" s="1"/>
  <c r="W32" i="1" s="1"/>
  <c r="CS32" i="1"/>
  <c r="R32" i="1" s="1"/>
  <c r="CW32" i="1"/>
  <c r="V32" i="1" s="1"/>
  <c r="FR32" i="1"/>
  <c r="GL32" i="1"/>
  <c r="GO32" i="1"/>
  <c r="GP32" i="1"/>
  <c r="GV32" i="1"/>
  <c r="HC32" i="1"/>
  <c r="GX32" i="1" s="1"/>
  <c r="B34" i="1"/>
  <c r="B22" i="1" s="1"/>
  <c r="C34" i="1"/>
  <c r="C22" i="1" s="1"/>
  <c r="D34" i="1"/>
  <c r="D22" i="1" s="1"/>
  <c r="F34" i="1"/>
  <c r="F22" i="1" s="1"/>
  <c r="G34" i="1"/>
  <c r="G22" i="1" s="1"/>
  <c r="BB34" i="1"/>
  <c r="BB22" i="1" s="1"/>
  <c r="BX34" i="1"/>
  <c r="BX22" i="1" s="1"/>
  <c r="CK34" i="1"/>
  <c r="CK22" i="1" s="1"/>
  <c r="CL34" i="1"/>
  <c r="CL22" i="1" s="1"/>
  <c r="FP34" i="1"/>
  <c r="FP22" i="1" s="1"/>
  <c r="GC34" i="1"/>
  <c r="GC22" i="1" s="1"/>
  <c r="GD34" i="1"/>
  <c r="GD22" i="1" s="1"/>
  <c r="B64" i="1"/>
  <c r="B18" i="1" s="1"/>
  <c r="C64" i="1"/>
  <c r="C18" i="1" s="1"/>
  <c r="D64" i="1"/>
  <c r="D18" i="1" s="1"/>
  <c r="F64" i="1"/>
  <c r="F18" i="1" s="1"/>
  <c r="G64" i="1"/>
  <c r="G18" i="1" s="1"/>
  <c r="H76" i="10" l="1"/>
  <c r="T75" i="10"/>
  <c r="H75" i="10"/>
  <c r="T74" i="10"/>
  <c r="T76" i="10"/>
  <c r="H74" i="10"/>
  <c r="F63" i="7"/>
  <c r="H68" i="10"/>
  <c r="T67" i="10"/>
  <c r="T64" i="10"/>
  <c r="H67" i="10"/>
  <c r="H64" i="10"/>
  <c r="T68" i="10"/>
  <c r="H66" i="10"/>
  <c r="GM66" i="10"/>
  <c r="H69" i="7"/>
  <c r="H69" i="10"/>
  <c r="CR28" i="1"/>
  <c r="Q28" i="1" s="1"/>
  <c r="U60" i="7" s="1"/>
  <c r="T60" i="10"/>
  <c r="H60" i="10"/>
  <c r="H55" i="10"/>
  <c r="H53" i="10"/>
  <c r="H54" i="10"/>
  <c r="T55" i="10"/>
  <c r="GM53" i="10"/>
  <c r="T54" i="10"/>
  <c r="CV32" i="1"/>
  <c r="U32" i="1" s="1"/>
  <c r="H77" i="7"/>
  <c r="CV30" i="1"/>
  <c r="CT32" i="1"/>
  <c r="S32" i="1" s="1"/>
  <c r="H76" i="7"/>
  <c r="T75" i="7"/>
  <c r="H75" i="7"/>
  <c r="T74" i="7"/>
  <c r="T76" i="7"/>
  <c r="H74" i="7"/>
  <c r="CC34" i="1"/>
  <c r="AT34" i="1" s="1"/>
  <c r="AT64" i="1" s="1"/>
  <c r="AT18" i="1" s="1"/>
  <c r="BZ34" i="1"/>
  <c r="BZ22" i="1" s="1"/>
  <c r="AD30" i="1"/>
  <c r="H66" i="7"/>
  <c r="GM66" i="7"/>
  <c r="CT30" i="1"/>
  <c r="S30" i="1" s="1"/>
  <c r="H68" i="7"/>
  <c r="T67" i="7"/>
  <c r="T64" i="7"/>
  <c r="H67" i="7"/>
  <c r="H64" i="7"/>
  <c r="T68" i="7"/>
  <c r="CS30" i="1"/>
  <c r="R30" i="1" s="1"/>
  <c r="FV34" i="1"/>
  <c r="EM34" i="1" s="1"/>
  <c r="CD34" i="1"/>
  <c r="CD22" i="1" s="1"/>
  <c r="AB28" i="1"/>
  <c r="T60" i="7"/>
  <c r="H60" i="7"/>
  <c r="FR34" i="1"/>
  <c r="EI34" i="1" s="1"/>
  <c r="FQ34" i="1"/>
  <c r="FQ22" i="1" s="1"/>
  <c r="BY34" i="1"/>
  <c r="BY22" i="1" s="1"/>
  <c r="FU34" i="1"/>
  <c r="FU22" i="1" s="1"/>
  <c r="AD26" i="1"/>
  <c r="H55" i="7"/>
  <c r="H53" i="7"/>
  <c r="H54" i="7"/>
  <c r="T55" i="7"/>
  <c r="GM53" i="7"/>
  <c r="T54" i="7"/>
  <c r="P29" i="1"/>
  <c r="V30" i="1"/>
  <c r="EA34" i="1" s="1"/>
  <c r="U30" i="1"/>
  <c r="I69" i="10" s="1"/>
  <c r="P30" i="1"/>
  <c r="DU34" i="1" s="1"/>
  <c r="GX30" i="1"/>
  <c r="GB34" i="1" s="1"/>
  <c r="ES34" i="1" s="1"/>
  <c r="T30" i="1"/>
  <c r="DY34" i="1" s="1"/>
  <c r="DY22" i="1" s="1"/>
  <c r="GX29" i="1"/>
  <c r="CJ34" i="1" s="1"/>
  <c r="BA34" i="1" s="1"/>
  <c r="U29" i="1"/>
  <c r="AH34" i="1" s="1"/>
  <c r="R29" i="1"/>
  <c r="CZ29" i="1" s="1"/>
  <c r="Y29" i="1" s="1"/>
  <c r="W29" i="1"/>
  <c r="AJ34" i="1" s="1"/>
  <c r="W34" i="1" s="1"/>
  <c r="T29" i="1"/>
  <c r="V29" i="1"/>
  <c r="AI34" i="1" s="1"/>
  <c r="F47" i="1"/>
  <c r="AO34" i="1"/>
  <c r="CZ31" i="1"/>
  <c r="Y31" i="1" s="1"/>
  <c r="AF34" i="1"/>
  <c r="CY31" i="1"/>
  <c r="X31" i="1" s="1"/>
  <c r="EB34" i="1"/>
  <c r="CZ27" i="1"/>
  <c r="Y27" i="1" s="1"/>
  <c r="CR32" i="1"/>
  <c r="Q32" i="1" s="1"/>
  <c r="AB32" i="1"/>
  <c r="CR31" i="1"/>
  <c r="Q31" i="1" s="1"/>
  <c r="CP31" i="1" s="1"/>
  <c r="O31" i="1" s="1"/>
  <c r="AB31" i="1"/>
  <c r="CR30" i="1"/>
  <c r="Q30" i="1" s="1"/>
  <c r="BB64" i="1"/>
  <c r="EU34" i="1"/>
  <c r="EG34" i="1"/>
  <c r="BC34" i="1"/>
  <c r="T27" i="1"/>
  <c r="P27" i="1"/>
  <c r="CY27" i="1"/>
  <c r="X27" i="1" s="1"/>
  <c r="CR25" i="1"/>
  <c r="Q25" i="1" s="1"/>
  <c r="CP25" i="1" s="1"/>
  <c r="O25" i="1" s="1"/>
  <c r="AB25" i="1"/>
  <c r="ET34" i="1"/>
  <c r="CX12" i="3"/>
  <c r="CX11" i="3"/>
  <c r="CX14" i="3"/>
  <c r="CX13" i="3"/>
  <c r="AD29" i="1"/>
  <c r="CR29" i="1" s="1"/>
  <c r="Q29" i="1" s="1"/>
  <c r="CX8" i="3"/>
  <c r="CX7" i="3"/>
  <c r="CX10" i="3"/>
  <c r="CX9" i="3"/>
  <c r="S28" i="1"/>
  <c r="CP28" i="1" s="1"/>
  <c r="O28" i="1" s="1"/>
  <c r="CY25" i="1"/>
  <c r="X25" i="1" s="1"/>
  <c r="CZ25" i="1"/>
  <c r="Y25" i="1" s="1"/>
  <c r="CS26" i="1"/>
  <c r="R26" i="1" s="1"/>
  <c r="K53" i="10" s="1"/>
  <c r="CX1" i="3"/>
  <c r="CX3" i="3"/>
  <c r="DJ80" i="10" l="1"/>
  <c r="K118" i="10" s="1"/>
  <c r="DJ14" i="9"/>
  <c r="DT80" i="10"/>
  <c r="K133" i="10" s="1"/>
  <c r="DT14" i="9"/>
  <c r="R78" i="10"/>
  <c r="HN74" i="10"/>
  <c r="HX74" i="10"/>
  <c r="I74" i="10"/>
  <c r="HB74" i="10"/>
  <c r="AP74" i="10"/>
  <c r="HL74" i="10"/>
  <c r="GK74" i="10"/>
  <c r="HF74" i="10"/>
  <c r="GJ74" i="10"/>
  <c r="I77" i="7"/>
  <c r="I77" i="10"/>
  <c r="U74" i="10"/>
  <c r="V74" i="10"/>
  <c r="HB75" i="10"/>
  <c r="HF75" i="10"/>
  <c r="I75" i="10"/>
  <c r="HN75" i="10"/>
  <c r="GY75" i="10"/>
  <c r="HL75" i="10"/>
  <c r="AP75" i="10"/>
  <c r="HN76" i="10"/>
  <c r="GZ76" i="10"/>
  <c r="HB76" i="10"/>
  <c r="HL76" i="10"/>
  <c r="AP76" i="10"/>
  <c r="HF76" i="10"/>
  <c r="I76" i="10"/>
  <c r="CZ32" i="1"/>
  <c r="Y32" i="1" s="1"/>
  <c r="HX66" i="10"/>
  <c r="I66" i="10"/>
  <c r="U64" i="10"/>
  <c r="V64" i="10"/>
  <c r="HL64" i="10"/>
  <c r="GK64" i="10"/>
  <c r="HN64" i="10"/>
  <c r="HF64" i="10"/>
  <c r="GJ64" i="10"/>
  <c r="I64" i="10"/>
  <c r="HB64" i="10"/>
  <c r="AP64" i="10"/>
  <c r="HX64" i="10"/>
  <c r="K66" i="7"/>
  <c r="K66" i="10"/>
  <c r="HN68" i="10"/>
  <c r="GZ68" i="10"/>
  <c r="HL68" i="10"/>
  <c r="AP68" i="10"/>
  <c r="HB68" i="10"/>
  <c r="HF68" i="10"/>
  <c r="I68" i="10"/>
  <c r="HB67" i="10"/>
  <c r="HF67" i="10"/>
  <c r="HN67" i="10"/>
  <c r="GY67" i="10"/>
  <c r="HL67" i="10"/>
  <c r="AP67" i="10"/>
  <c r="I67" i="10"/>
  <c r="U65" i="7"/>
  <c r="U65" i="10"/>
  <c r="H65" i="7"/>
  <c r="T65" i="10"/>
  <c r="R70" i="10" s="1"/>
  <c r="H65" i="10"/>
  <c r="AB30" i="1"/>
  <c r="T65" i="7"/>
  <c r="HL65" i="7" s="1"/>
  <c r="R61" i="10"/>
  <c r="HF60" i="10"/>
  <c r="AP60" i="10"/>
  <c r="AM61" i="10" s="1"/>
  <c r="I58" i="10" s="1"/>
  <c r="HO60" i="10"/>
  <c r="HB60" i="10"/>
  <c r="I60" i="10"/>
  <c r="HM60" i="10"/>
  <c r="GL60" i="10"/>
  <c r="HK60" i="10"/>
  <c r="GJ60" i="10"/>
  <c r="U60" i="10"/>
  <c r="HN55" i="10"/>
  <c r="GZ55" i="10"/>
  <c r="HL55" i="10"/>
  <c r="AP55" i="10"/>
  <c r="HB55" i="10"/>
  <c r="HF55" i="10"/>
  <c r="I55" i="10"/>
  <c r="HB54" i="10"/>
  <c r="HN54" i="10"/>
  <c r="GY54" i="10"/>
  <c r="HF54" i="10"/>
  <c r="HL54" i="10"/>
  <c r="AP54" i="10"/>
  <c r="I54" i="10"/>
  <c r="HX53" i="10"/>
  <c r="I53" i="10"/>
  <c r="T52" i="7"/>
  <c r="GJ52" i="7" s="1"/>
  <c r="T52" i="10"/>
  <c r="R56" i="10" s="1"/>
  <c r="H52" i="10"/>
  <c r="CC22" i="1"/>
  <c r="EY14" i="6"/>
  <c r="EY80" i="7"/>
  <c r="EI64" i="1"/>
  <c r="EI18" i="1" s="1"/>
  <c r="DJ80" i="7"/>
  <c r="K118" i="7" s="1"/>
  <c r="DJ14" i="6"/>
  <c r="P53" i="1"/>
  <c r="DT80" i="7"/>
  <c r="K133" i="7" s="1"/>
  <c r="DT14" i="6"/>
  <c r="DW80" i="7"/>
  <c r="DW14" i="6"/>
  <c r="CY32" i="1"/>
  <c r="X32" i="1" s="1"/>
  <c r="CP32" i="1"/>
  <c r="O32" i="1" s="1"/>
  <c r="GN32" i="1" s="1"/>
  <c r="R78" i="7"/>
  <c r="HN74" i="7"/>
  <c r="HX74" i="7"/>
  <c r="I74" i="7"/>
  <c r="HL74" i="7"/>
  <c r="GK74" i="7"/>
  <c r="AP74" i="7"/>
  <c r="HF74" i="7"/>
  <c r="GJ74" i="7"/>
  <c r="HB74" i="7"/>
  <c r="U74" i="7"/>
  <c r="V74" i="7"/>
  <c r="HB75" i="7"/>
  <c r="HF75" i="7"/>
  <c r="HN75" i="7"/>
  <c r="GY75" i="7"/>
  <c r="HL75" i="7"/>
  <c r="AP75" i="7"/>
  <c r="I75" i="7"/>
  <c r="HN76" i="7"/>
  <c r="GZ76" i="7"/>
  <c r="HB76" i="7"/>
  <c r="HL76" i="7"/>
  <c r="AP76" i="7"/>
  <c r="HF76" i="7"/>
  <c r="I76" i="7"/>
  <c r="AQ34" i="1"/>
  <c r="AQ64" i="1" s="1"/>
  <c r="AP34" i="1"/>
  <c r="AP64" i="1" s="1"/>
  <c r="CI34" i="1"/>
  <c r="AZ34" i="1" s="1"/>
  <c r="CG34" i="1"/>
  <c r="CG22" i="1" s="1"/>
  <c r="FY34" i="1"/>
  <c r="EP34" i="1" s="1"/>
  <c r="H52" i="7"/>
  <c r="CY29" i="1"/>
  <c r="X29" i="1" s="1"/>
  <c r="EI22" i="1"/>
  <c r="FR22" i="1"/>
  <c r="CR26" i="1"/>
  <c r="Q26" i="1" s="1"/>
  <c r="U52" i="10" s="1"/>
  <c r="HL64" i="7"/>
  <c r="GK64" i="7"/>
  <c r="HF64" i="7"/>
  <c r="GJ64" i="7"/>
  <c r="HX64" i="7"/>
  <c r="I64" i="7"/>
  <c r="HB64" i="7"/>
  <c r="AP64" i="7"/>
  <c r="HN64" i="7"/>
  <c r="HX66" i="7"/>
  <c r="I66" i="7"/>
  <c r="DZ34" i="1"/>
  <c r="DZ22" i="1" s="1"/>
  <c r="I69" i="7"/>
  <c r="AB26" i="1"/>
  <c r="HN68" i="7"/>
  <c r="GZ68" i="7"/>
  <c r="HL68" i="7"/>
  <c r="AP68" i="7"/>
  <c r="HB68" i="7"/>
  <c r="HF68" i="7"/>
  <c r="I68" i="7"/>
  <c r="HB67" i="7"/>
  <c r="HN67" i="7"/>
  <c r="GY67" i="7"/>
  <c r="I67" i="7"/>
  <c r="HL67" i="7"/>
  <c r="AP67" i="7"/>
  <c r="HF67" i="7"/>
  <c r="U64" i="7"/>
  <c r="V64" i="7"/>
  <c r="CO80" i="7" s="1"/>
  <c r="K99" i="7" s="1"/>
  <c r="P44" i="1"/>
  <c r="FV22" i="1"/>
  <c r="CZ30" i="1"/>
  <c r="Y30" i="1" s="1"/>
  <c r="CY30" i="1"/>
  <c r="X30" i="1" s="1"/>
  <c r="U67" i="10" s="1"/>
  <c r="AR65" i="7"/>
  <c r="K65" i="7"/>
  <c r="AU34" i="1"/>
  <c r="AU64" i="1" s="1"/>
  <c r="EH34" i="1"/>
  <c r="DL34" i="1"/>
  <c r="DL64" i="1" s="1"/>
  <c r="AJ22" i="1"/>
  <c r="GA34" i="1"/>
  <c r="GA22" i="1" s="1"/>
  <c r="R61" i="7"/>
  <c r="HF60" i="7"/>
  <c r="AP60" i="7"/>
  <c r="AM61" i="7" s="1"/>
  <c r="I58" i="7" s="1"/>
  <c r="GL60" i="7"/>
  <c r="HO60" i="7"/>
  <c r="HB60" i="7"/>
  <c r="I60" i="7"/>
  <c r="HM60" i="7"/>
  <c r="HK60" i="7"/>
  <c r="GJ60" i="7"/>
  <c r="S61" i="7"/>
  <c r="J61" i="7" s="1"/>
  <c r="K60" i="7"/>
  <c r="AR60" i="7"/>
  <c r="AO61" i="7" s="1"/>
  <c r="EL34" i="1"/>
  <c r="AG34" i="1"/>
  <c r="AG22" i="1" s="1"/>
  <c r="GB22" i="1"/>
  <c r="CJ22" i="1"/>
  <c r="I53" i="7"/>
  <c r="HX53" i="7"/>
  <c r="HN55" i="7"/>
  <c r="GZ55" i="7"/>
  <c r="HL55" i="7"/>
  <c r="AP55" i="7"/>
  <c r="HF55" i="7"/>
  <c r="I55" i="7"/>
  <c r="HB55" i="7"/>
  <c r="HB54" i="7"/>
  <c r="HN54" i="7"/>
  <c r="GY54" i="7"/>
  <c r="AP54" i="7"/>
  <c r="HL54" i="7"/>
  <c r="HF54" i="7"/>
  <c r="I54" i="7"/>
  <c r="CY26" i="1"/>
  <c r="X26" i="1" s="1"/>
  <c r="K53" i="7"/>
  <c r="CP29" i="1"/>
  <c r="O29" i="1" s="1"/>
  <c r="GN29" i="1" s="1"/>
  <c r="AE34" i="1"/>
  <c r="AE22" i="1" s="1"/>
  <c r="F52" i="1"/>
  <c r="F16" i="2" s="1"/>
  <c r="F18" i="2" s="1"/>
  <c r="AT22" i="1"/>
  <c r="EM22" i="1"/>
  <c r="EM64" i="1"/>
  <c r="F82" i="1"/>
  <c r="AK34" i="1"/>
  <c r="CZ26" i="1"/>
  <c r="Y26" i="1" s="1"/>
  <c r="U55" i="10" s="1"/>
  <c r="DW34" i="1"/>
  <c r="CZ28" i="1"/>
  <c r="Y28" i="1" s="1"/>
  <c r="DX34" i="1"/>
  <c r="CY28" i="1"/>
  <c r="X28" i="1" s="1"/>
  <c r="K58" i="10" s="1"/>
  <c r="ET22" i="1"/>
  <c r="P47" i="1"/>
  <c r="ET64" i="1"/>
  <c r="AB29" i="1"/>
  <c r="BC22" i="1"/>
  <c r="F50" i="1"/>
  <c r="BC64" i="1"/>
  <c r="DU22" i="1"/>
  <c r="FX34" i="1"/>
  <c r="DH34" i="1"/>
  <c r="FW34" i="1"/>
  <c r="FZ34" i="1"/>
  <c r="BB18" i="1"/>
  <c r="F77" i="1"/>
  <c r="ES22" i="1"/>
  <c r="P54" i="1"/>
  <c r="ES64" i="1"/>
  <c r="BA22" i="1"/>
  <c r="F54" i="1"/>
  <c r="BA64" i="1"/>
  <c r="GM25" i="1"/>
  <c r="GN25" i="1"/>
  <c r="EU22" i="1"/>
  <c r="P50" i="1"/>
  <c r="EU64" i="1"/>
  <c r="CP30" i="1"/>
  <c r="O30" i="1" s="1"/>
  <c r="EG22" i="1"/>
  <c r="P38" i="1"/>
  <c r="EG64" i="1"/>
  <c r="EB22" i="1"/>
  <c r="DO34" i="1"/>
  <c r="AD34" i="1"/>
  <c r="CP27" i="1"/>
  <c r="O27" i="1" s="1"/>
  <c r="AC34" i="1"/>
  <c r="GN31" i="1"/>
  <c r="GM31" i="1"/>
  <c r="EA22" i="1"/>
  <c r="DN34" i="1"/>
  <c r="AI22" i="1"/>
  <c r="V34" i="1"/>
  <c r="AL34" i="1"/>
  <c r="AH22" i="1"/>
  <c r="U34" i="1"/>
  <c r="W22" i="1"/>
  <c r="F58" i="1"/>
  <c r="W64" i="1"/>
  <c r="AF22" i="1"/>
  <c r="S34" i="1"/>
  <c r="AO22" i="1"/>
  <c r="F38" i="1"/>
  <c r="AO64" i="1"/>
  <c r="F44" i="1" l="1"/>
  <c r="CI22" i="1"/>
  <c r="FY22" i="1"/>
  <c r="W16" i="2"/>
  <c r="W18" i="2" s="1"/>
  <c r="DR80" i="10"/>
  <c r="K131" i="10" s="1"/>
  <c r="DR14" i="9"/>
  <c r="DG80" i="10"/>
  <c r="K115" i="10" s="1"/>
  <c r="DG14" i="9"/>
  <c r="DC14" i="9"/>
  <c r="DC80" i="10"/>
  <c r="K110" i="10" s="1"/>
  <c r="P43" i="1"/>
  <c r="V16" i="2" s="1"/>
  <c r="V18" i="2" s="1"/>
  <c r="DI14" i="9"/>
  <c r="DS80" i="10"/>
  <c r="K132" i="10" s="1"/>
  <c r="DS14" i="9"/>
  <c r="DI80" i="10"/>
  <c r="K117" i="10" s="1"/>
  <c r="U75" i="7"/>
  <c r="AR75" i="7" s="1"/>
  <c r="U75" i="10"/>
  <c r="AM78" i="10"/>
  <c r="I72" i="10" s="1"/>
  <c r="U76" i="7"/>
  <c r="U76" i="10"/>
  <c r="K74" i="10"/>
  <c r="S78" i="10"/>
  <c r="J78" i="10" s="1"/>
  <c r="AR74" i="10"/>
  <c r="H78" i="10"/>
  <c r="HA78" i="10"/>
  <c r="GM32" i="1"/>
  <c r="K75" i="7"/>
  <c r="K72" i="10"/>
  <c r="K72" i="7"/>
  <c r="HN65" i="7"/>
  <c r="HL52" i="7"/>
  <c r="IH80" i="7" s="1"/>
  <c r="R56" i="7"/>
  <c r="HF65" i="7"/>
  <c r="H70" i="10"/>
  <c r="HA70" i="10"/>
  <c r="K67" i="10"/>
  <c r="AR67" i="10"/>
  <c r="AR64" i="10"/>
  <c r="K64" i="10"/>
  <c r="AQ22" i="1"/>
  <c r="U68" i="7"/>
  <c r="U68" i="10"/>
  <c r="GL65" i="7"/>
  <c r="AP65" i="7"/>
  <c r="R70" i="7"/>
  <c r="P80" i="7" s="1"/>
  <c r="HB65" i="10"/>
  <c r="HN65" i="10"/>
  <c r="GL65" i="10"/>
  <c r="HL65" i="10"/>
  <c r="GJ65" i="10"/>
  <c r="HF65" i="10"/>
  <c r="AP65" i="10"/>
  <c r="AM70" i="10" s="1"/>
  <c r="I63" i="10" s="1"/>
  <c r="I65" i="10"/>
  <c r="I65" i="7"/>
  <c r="GJ65" i="7"/>
  <c r="EV14" i="6" s="1"/>
  <c r="K63" i="10"/>
  <c r="K65" i="10"/>
  <c r="AR65" i="10"/>
  <c r="HB65" i="7"/>
  <c r="FN80" i="7" s="1"/>
  <c r="EL80" i="7"/>
  <c r="I99" i="7" s="1"/>
  <c r="FX80" i="7"/>
  <c r="EW80" i="7"/>
  <c r="FX14" i="6"/>
  <c r="EW14" i="6"/>
  <c r="P55" i="1"/>
  <c r="DL22" i="1"/>
  <c r="HN52" i="7"/>
  <c r="II80" i="7" s="1"/>
  <c r="HB52" i="7"/>
  <c r="HF52" i="7"/>
  <c r="S61" i="10"/>
  <c r="J61" i="10" s="1"/>
  <c r="K60" i="10"/>
  <c r="AR60" i="10"/>
  <c r="AO61" i="10" s="1"/>
  <c r="EC34" i="1"/>
  <c r="EC22" i="1" s="1"/>
  <c r="HA61" i="10"/>
  <c r="H61" i="10"/>
  <c r="FW14" i="6"/>
  <c r="FW80" i="7"/>
  <c r="I124" i="7" s="1"/>
  <c r="IB80" i="7"/>
  <c r="IB14" i="6"/>
  <c r="K55" i="10"/>
  <c r="AR55" i="10"/>
  <c r="U54" i="7"/>
  <c r="U54" i="10"/>
  <c r="H56" i="10"/>
  <c r="HA56" i="10"/>
  <c r="GL52" i="7"/>
  <c r="AP52" i="7"/>
  <c r="AM56" i="7" s="1"/>
  <c r="I50" i="7" s="1"/>
  <c r="I52" i="7"/>
  <c r="U52" i="7"/>
  <c r="DV34" i="1"/>
  <c r="DV22" i="1" s="1"/>
  <c r="HB52" i="10"/>
  <c r="I52" i="10"/>
  <c r="HN52" i="10"/>
  <c r="GL52" i="10"/>
  <c r="HL52" i="10"/>
  <c r="GJ52" i="10"/>
  <c r="HF52" i="10"/>
  <c r="AP52" i="10"/>
  <c r="AM56" i="10" s="1"/>
  <c r="I50" i="10" s="1"/>
  <c r="K52" i="10"/>
  <c r="AR52" i="10"/>
  <c r="CP26" i="1"/>
  <c r="O26" i="1" s="1"/>
  <c r="DT34" i="1" s="1"/>
  <c r="K50" i="10"/>
  <c r="II14" i="6"/>
  <c r="IN80" i="7"/>
  <c r="FK14" i="6"/>
  <c r="IN14" i="6"/>
  <c r="FK80" i="7"/>
  <c r="I125" i="7" s="1"/>
  <c r="FL14" i="6"/>
  <c r="IR80" i="7"/>
  <c r="IR14" i="6"/>
  <c r="FL80" i="7"/>
  <c r="I126" i="7" s="1"/>
  <c r="I122" i="7"/>
  <c r="I109" i="7"/>
  <c r="EU14" i="6"/>
  <c r="EU80" i="7"/>
  <c r="I84" i="7" s="1"/>
  <c r="CX80" i="7"/>
  <c r="K84" i="7" s="1"/>
  <c r="CX14" i="6"/>
  <c r="EH64" i="1"/>
  <c r="P73" i="1" s="1"/>
  <c r="DM14" i="6"/>
  <c r="DM80" i="7"/>
  <c r="K121" i="7" s="1"/>
  <c r="F43" i="1"/>
  <c r="G16" i="2" s="1"/>
  <c r="G18" i="2" s="1"/>
  <c r="EL64" i="1"/>
  <c r="P82" i="1" s="1"/>
  <c r="DR80" i="7"/>
  <c r="K131" i="7" s="1"/>
  <c r="DR14" i="6"/>
  <c r="DC80" i="7"/>
  <c r="K110" i="7" s="1"/>
  <c r="DC14" i="6"/>
  <c r="AU22" i="1"/>
  <c r="AX34" i="1"/>
  <c r="F41" i="1" s="1"/>
  <c r="DL80" i="7"/>
  <c r="K120" i="7" s="1"/>
  <c r="DL14" i="6"/>
  <c r="P74" i="1"/>
  <c r="EH22" i="1"/>
  <c r="DI14" i="6"/>
  <c r="DS80" i="7"/>
  <c r="K132" i="7" s="1"/>
  <c r="DS14" i="6"/>
  <c r="DI80" i="7"/>
  <c r="K117" i="7" s="1"/>
  <c r="DG80" i="7"/>
  <c r="K115" i="7" s="1"/>
  <c r="DG14" i="6"/>
  <c r="K74" i="7"/>
  <c r="AR74" i="7"/>
  <c r="AM78" i="7"/>
  <c r="I72" i="7" s="1"/>
  <c r="GM28" i="1"/>
  <c r="HD28" i="1" s="1"/>
  <c r="GE34" i="1" s="1"/>
  <c r="GE22" i="1" s="1"/>
  <c r="H78" i="7"/>
  <c r="HA78" i="7"/>
  <c r="AP22" i="1"/>
  <c r="DM34" i="1"/>
  <c r="AR64" i="7"/>
  <c r="K64" i="7"/>
  <c r="GN28" i="1"/>
  <c r="AM70" i="7"/>
  <c r="I63" i="7" s="1"/>
  <c r="H70" i="7"/>
  <c r="HA70" i="7"/>
  <c r="K63" i="7"/>
  <c r="U67" i="7"/>
  <c r="K68" i="7"/>
  <c r="AR68" i="7"/>
  <c r="F53" i="1"/>
  <c r="H16" i="2" s="1"/>
  <c r="H18" i="2" s="1"/>
  <c r="ER34" i="1"/>
  <c r="P52" i="1"/>
  <c r="U16" i="2" s="1"/>
  <c r="U18" i="2" s="1"/>
  <c r="T34" i="1"/>
  <c r="T22" i="1" s="1"/>
  <c r="K58" i="7"/>
  <c r="EL22" i="1"/>
  <c r="HA61" i="7"/>
  <c r="H61" i="7"/>
  <c r="GM29" i="1"/>
  <c r="K54" i="7"/>
  <c r="AR54" i="7"/>
  <c r="GM26" i="1"/>
  <c r="U55" i="7"/>
  <c r="H56" i="7"/>
  <c r="HA56" i="7"/>
  <c r="AR52" i="7"/>
  <c r="K52" i="7"/>
  <c r="K50" i="7"/>
  <c r="R34" i="1"/>
  <c r="GN26" i="1"/>
  <c r="EM18" i="1"/>
  <c r="P83" i="1"/>
  <c r="DO22" i="1"/>
  <c r="P58" i="1"/>
  <c r="DO64" i="1"/>
  <c r="FZ22" i="1"/>
  <c r="EQ34" i="1"/>
  <c r="BC18" i="1"/>
  <c r="F80" i="1"/>
  <c r="ET18" i="1"/>
  <c r="P77" i="1"/>
  <c r="AZ22" i="1"/>
  <c r="F45" i="1"/>
  <c r="AZ64" i="1"/>
  <c r="GM27" i="1"/>
  <c r="HD27" i="1" s="1"/>
  <c r="CM34" i="1" s="1"/>
  <c r="GN27" i="1"/>
  <c r="CB34" i="1" s="1"/>
  <c r="EG18" i="1"/>
  <c r="P68" i="1"/>
  <c r="AB34" i="1"/>
  <c r="DH22" i="1"/>
  <c r="P37" i="1"/>
  <c r="DH64" i="1"/>
  <c r="AP18" i="1"/>
  <c r="F73" i="1"/>
  <c r="S22" i="1"/>
  <c r="F49" i="1"/>
  <c r="S64" i="1"/>
  <c r="U22" i="1"/>
  <c r="F56" i="1"/>
  <c r="U64" i="1"/>
  <c r="V22" i="1"/>
  <c r="F57" i="1"/>
  <c r="V64" i="1"/>
  <c r="AD22" i="1"/>
  <c r="Q34" i="1"/>
  <c r="EU18" i="1"/>
  <c r="P80" i="1"/>
  <c r="ES18" i="1"/>
  <c r="P84" i="1"/>
  <c r="FX22" i="1"/>
  <c r="EO34" i="1"/>
  <c r="ED34" i="1"/>
  <c r="DL18" i="1"/>
  <c r="P85" i="1"/>
  <c r="AK22" i="1"/>
  <c r="X34" i="1"/>
  <c r="AO18" i="1"/>
  <c r="F68" i="1"/>
  <c r="EP22" i="1"/>
  <c r="P41" i="1"/>
  <c r="EP64" i="1"/>
  <c r="DX22" i="1"/>
  <c r="DK34" i="1"/>
  <c r="W18" i="1"/>
  <c r="F88" i="1"/>
  <c r="AL22" i="1"/>
  <c r="Y34" i="1"/>
  <c r="DN22" i="1"/>
  <c r="DN64" i="1"/>
  <c r="P57" i="1"/>
  <c r="AC22" i="1"/>
  <c r="P34" i="1"/>
  <c r="CE34" i="1"/>
  <c r="CH34" i="1"/>
  <c r="CF34" i="1"/>
  <c r="GN30" i="1"/>
  <c r="GM30" i="1"/>
  <c r="BA18" i="1"/>
  <c r="F84" i="1"/>
  <c r="FW22" i="1"/>
  <c r="EN34" i="1"/>
  <c r="AU18" i="1"/>
  <c r="F83" i="1"/>
  <c r="AQ18" i="1"/>
  <c r="F74" i="1"/>
  <c r="DW22" i="1"/>
  <c r="DJ34" i="1"/>
  <c r="DH80" i="10" l="1"/>
  <c r="K116" i="10" s="1"/>
  <c r="DH14" i="9"/>
  <c r="DE14" i="9"/>
  <c r="DE80" i="10"/>
  <c r="K113" i="10" s="1"/>
  <c r="DK80" i="10"/>
  <c r="K119" i="10" s="1"/>
  <c r="DK14" i="9"/>
  <c r="DF80" i="10"/>
  <c r="K114" i="10" s="1"/>
  <c r="DF14" i="9"/>
  <c r="EX14" i="6"/>
  <c r="K76" i="7"/>
  <c r="AR76" i="7"/>
  <c r="AO78" i="7" s="1"/>
  <c r="IH14" i="6"/>
  <c r="K75" i="10"/>
  <c r="AR75" i="10"/>
  <c r="S78" i="7"/>
  <c r="J78" i="7" s="1"/>
  <c r="K76" i="10"/>
  <c r="AR76" i="10"/>
  <c r="FN14" i="6"/>
  <c r="GB80" i="7"/>
  <c r="EX80" i="7"/>
  <c r="I107" i="7" s="1"/>
  <c r="EV80" i="7"/>
  <c r="I86" i="7" s="1"/>
  <c r="GB14" i="6"/>
  <c r="K68" i="10"/>
  <c r="AR68" i="10"/>
  <c r="S70" i="10"/>
  <c r="J70" i="10" s="1"/>
  <c r="AO70" i="10"/>
  <c r="I38" i="7"/>
  <c r="I88" i="7"/>
  <c r="DP34" i="1"/>
  <c r="DN80" i="7" s="1"/>
  <c r="EV34" i="1"/>
  <c r="EV22" i="1" s="1"/>
  <c r="K54" i="10"/>
  <c r="AR54" i="10"/>
  <c r="AO56" i="10" s="1"/>
  <c r="S56" i="10"/>
  <c r="J56" i="10" s="1"/>
  <c r="DI34" i="1"/>
  <c r="P46" i="1" s="1"/>
  <c r="DG34" i="1"/>
  <c r="DT22" i="1"/>
  <c r="FT34" i="1"/>
  <c r="EK34" i="1" s="1"/>
  <c r="AX64" i="1"/>
  <c r="AX22" i="1"/>
  <c r="FM80" i="7"/>
  <c r="FM14" i="6"/>
  <c r="I130" i="7"/>
  <c r="FR80" i="7"/>
  <c r="I135" i="7" s="1"/>
  <c r="I137" i="7" s="1"/>
  <c r="I138" i="7" s="1"/>
  <c r="I140" i="7" s="1"/>
  <c r="I37" i="7" s="1"/>
  <c r="FR14" i="6"/>
  <c r="DH80" i="7"/>
  <c r="K116" i="7" s="1"/>
  <c r="DH14" i="6"/>
  <c r="EH18" i="1"/>
  <c r="EL18" i="1"/>
  <c r="CW14" i="6"/>
  <c r="ET14" i="6"/>
  <c r="ET80" i="7"/>
  <c r="CW80" i="7"/>
  <c r="DF80" i="7"/>
  <c r="K114" i="7" s="1"/>
  <c r="DF14" i="6"/>
  <c r="DB80" i="7"/>
  <c r="K109" i="7" s="1"/>
  <c r="DB14" i="6"/>
  <c r="DE14" i="6"/>
  <c r="DE80" i="7"/>
  <c r="K113" i="7" s="1"/>
  <c r="CZ80" i="7"/>
  <c r="CZ14" i="6"/>
  <c r="ER22" i="1"/>
  <c r="DK80" i="7"/>
  <c r="K119" i="7" s="1"/>
  <c r="DK14" i="6"/>
  <c r="P45" i="1"/>
  <c r="F55" i="1"/>
  <c r="T64" i="1"/>
  <c r="T18" i="1" s="1"/>
  <c r="ER64" i="1"/>
  <c r="P56" i="1"/>
  <c r="DM64" i="1"/>
  <c r="DM22" i="1"/>
  <c r="AR67" i="7"/>
  <c r="AO70" i="7" s="1"/>
  <c r="K67" i="7"/>
  <c r="S70" i="7"/>
  <c r="J70" i="7" s="1"/>
  <c r="CA34" i="1"/>
  <c r="CA22" i="1" s="1"/>
  <c r="FS34" i="1"/>
  <c r="EJ34" i="1" s="1"/>
  <c r="K55" i="7"/>
  <c r="AR55" i="7"/>
  <c r="AO56" i="7" s="1"/>
  <c r="S56" i="7"/>
  <c r="F48" i="1"/>
  <c r="J16" i="2" s="1"/>
  <c r="J18" i="2" s="1"/>
  <c r="R64" i="1"/>
  <c r="R22" i="1"/>
  <c r="CH22" i="1"/>
  <c r="AY34" i="1"/>
  <c r="CB22" i="1"/>
  <c r="AS34" i="1"/>
  <c r="P22" i="1"/>
  <c r="P64" i="1"/>
  <c r="F37" i="1"/>
  <c r="U18" i="1"/>
  <c r="F86" i="1"/>
  <c r="AB22" i="1"/>
  <c r="O34" i="1"/>
  <c r="CM22" i="1"/>
  <c r="BD34" i="1"/>
  <c r="X22" i="1"/>
  <c r="F60" i="1"/>
  <c r="X64" i="1"/>
  <c r="EO22" i="1"/>
  <c r="P40" i="1"/>
  <c r="EO64" i="1"/>
  <c r="DJ22" i="1"/>
  <c r="P48" i="1"/>
  <c r="DJ64" i="1"/>
  <c r="CF22" i="1"/>
  <c r="AW34" i="1"/>
  <c r="Y22" i="1"/>
  <c r="F61" i="1"/>
  <c r="Y64" i="1"/>
  <c r="EP18" i="1"/>
  <c r="P71" i="1"/>
  <c r="ED22" i="1"/>
  <c r="DQ34" i="1"/>
  <c r="Q22" i="1"/>
  <c r="F46" i="1"/>
  <c r="Q64" i="1"/>
  <c r="V18" i="1"/>
  <c r="F87" i="1"/>
  <c r="DH18" i="1"/>
  <c r="P67" i="1"/>
  <c r="AZ18" i="1"/>
  <c r="F75" i="1"/>
  <c r="EN22" i="1"/>
  <c r="EN64" i="1"/>
  <c r="P39" i="1"/>
  <c r="CE22" i="1"/>
  <c r="AV34" i="1"/>
  <c r="DN18" i="1"/>
  <c r="P87" i="1"/>
  <c r="P60" i="1"/>
  <c r="DK22" i="1"/>
  <c r="P49" i="1"/>
  <c r="DK64" i="1"/>
  <c r="S18" i="1"/>
  <c r="F79" i="1"/>
  <c r="EQ22" i="1"/>
  <c r="P42" i="1"/>
  <c r="EQ64" i="1"/>
  <c r="DO18" i="1"/>
  <c r="P88" i="1"/>
  <c r="DP80" i="10" l="1"/>
  <c r="DP14" i="9"/>
  <c r="CY80" i="7"/>
  <c r="K86" i="7" s="1"/>
  <c r="CY80" i="10"/>
  <c r="K86" i="10" s="1"/>
  <c r="CY14" i="9"/>
  <c r="DU14" i="9"/>
  <c r="DQ14" i="9"/>
  <c r="DQ80" i="10"/>
  <c r="DU80" i="10"/>
  <c r="K137" i="10" s="1"/>
  <c r="K140" i="10" s="1"/>
  <c r="AO78" i="10"/>
  <c r="DG64" i="1"/>
  <c r="P66" i="1" s="1"/>
  <c r="DP64" i="1"/>
  <c r="DP18" i="1" s="1"/>
  <c r="DP22" i="1"/>
  <c r="DN14" i="6"/>
  <c r="F85" i="1"/>
  <c r="P36" i="1"/>
  <c r="DG22" i="1"/>
  <c r="CY14" i="6"/>
  <c r="P59" i="1"/>
  <c r="EV64" i="1"/>
  <c r="DZ14" i="6"/>
  <c r="DZ80" i="7"/>
  <c r="DA80" i="7"/>
  <c r="DA14" i="6"/>
  <c r="DI22" i="1"/>
  <c r="DI64" i="1"/>
  <c r="FT22" i="1"/>
  <c r="AX18" i="1"/>
  <c r="F71" i="1"/>
  <c r="J56" i="7"/>
  <c r="Q80" i="7"/>
  <c r="I128" i="7"/>
  <c r="I80" i="7"/>
  <c r="DP80" i="7"/>
  <c r="DP14" i="6"/>
  <c r="K122" i="7"/>
  <c r="K88" i="7"/>
  <c r="J38" i="7"/>
  <c r="K83" i="7"/>
  <c r="J39" i="7"/>
  <c r="DO80" i="7"/>
  <c r="DO14" i="6"/>
  <c r="DU14" i="6"/>
  <c r="DQ14" i="6"/>
  <c r="DQ80" i="7"/>
  <c r="DU80" i="7"/>
  <c r="K137" i="7" s="1"/>
  <c r="K140" i="7" s="1"/>
  <c r="I83" i="7"/>
  <c r="I39" i="7"/>
  <c r="P75" i="1"/>
  <c r="ER18" i="1"/>
  <c r="P86" i="1"/>
  <c r="DM18" i="1"/>
  <c r="AR34" i="1"/>
  <c r="IK8" i="1" s="1"/>
  <c r="FS22" i="1"/>
  <c r="R18" i="1"/>
  <c r="F78" i="1"/>
  <c r="Y16" i="2"/>
  <c r="Y18" i="2" s="1"/>
  <c r="DK18" i="1"/>
  <c r="P79" i="1"/>
  <c r="AV22" i="1"/>
  <c r="F39" i="1"/>
  <c r="AV64" i="1"/>
  <c r="EV18" i="1"/>
  <c r="P89" i="1"/>
  <c r="AW22" i="1"/>
  <c r="F40" i="1"/>
  <c r="AW64" i="1"/>
  <c r="X18" i="1"/>
  <c r="F90" i="1"/>
  <c r="EQ18" i="1"/>
  <c r="P72" i="1"/>
  <c r="DQ22" i="1"/>
  <c r="P61" i="1"/>
  <c r="DQ64" i="1"/>
  <c r="Y18" i="1"/>
  <c r="F91" i="1"/>
  <c r="EO18" i="1"/>
  <c r="P70" i="1"/>
  <c r="BD22" i="1"/>
  <c r="F59" i="1"/>
  <c r="BD64" i="1"/>
  <c r="EK22" i="1"/>
  <c r="EK64" i="1"/>
  <c r="P51" i="1"/>
  <c r="T16" i="2" s="1"/>
  <c r="AY22" i="1"/>
  <c r="F42" i="1"/>
  <c r="AY64" i="1"/>
  <c r="EJ22" i="1"/>
  <c r="EJ64" i="1"/>
  <c r="P62" i="1"/>
  <c r="Q18" i="1"/>
  <c r="F76" i="1"/>
  <c r="DJ18" i="1"/>
  <c r="P78" i="1"/>
  <c r="EN18" i="1"/>
  <c r="P69" i="1"/>
  <c r="O22" i="1"/>
  <c r="F36" i="1"/>
  <c r="O64" i="1"/>
  <c r="P18" i="1"/>
  <c r="F67" i="1"/>
  <c r="AS22" i="1"/>
  <c r="F51" i="1"/>
  <c r="E16" i="2" s="1"/>
  <c r="AS64" i="1"/>
  <c r="DG18" i="1" l="1"/>
  <c r="E26" i="10"/>
  <c r="J37" i="10"/>
  <c r="K141" i="10"/>
  <c r="K142" i="10" s="1"/>
  <c r="K80" i="10"/>
  <c r="P90" i="1"/>
  <c r="DI18" i="1"/>
  <c r="P76" i="1"/>
  <c r="AR64" i="1"/>
  <c r="AR18" i="1" s="1"/>
  <c r="J37" i="7"/>
  <c r="K141" i="7"/>
  <c r="K142" i="7" s="1"/>
  <c r="E26" i="7"/>
  <c r="K80" i="7"/>
  <c r="F62" i="1"/>
  <c r="AR22" i="1"/>
  <c r="O18" i="1"/>
  <c r="F66" i="1"/>
  <c r="EJ18" i="1"/>
  <c r="P92" i="1"/>
  <c r="BD18" i="1"/>
  <c r="F89" i="1"/>
  <c r="AS18" i="1"/>
  <c r="F81" i="1"/>
  <c r="T18" i="2"/>
  <c r="X16" i="2"/>
  <c r="X18" i="2" s="1"/>
  <c r="AW18" i="1"/>
  <c r="F70" i="1"/>
  <c r="E18" i="2"/>
  <c r="I16" i="2"/>
  <c r="I18" i="2" s="1"/>
  <c r="AY18" i="1"/>
  <c r="F72" i="1"/>
  <c r="EK18" i="1"/>
  <c r="P81" i="1"/>
  <c r="AV18" i="1"/>
  <c r="F69" i="1"/>
  <c r="DQ18" i="1"/>
  <c r="P91" i="1"/>
  <c r="F92" i="1" l="1"/>
</calcChain>
</file>

<file path=xl/comments1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2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3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4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5.xml><?xml version="1.0" encoding="utf-8"?>
<comments xmlns="http://schemas.openxmlformats.org/spreadsheetml/2006/main">
  <authors>
    <author>Кузнецова Ульяна Ивановна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  <comment ref="C80" authorId="0" shapeId="0">
      <text>
        <r>
          <rPr>
            <sz val="9"/>
            <color indexed="81"/>
            <rFont val="Tahoma"/>
            <family val="2"/>
            <charset val="204"/>
          </rPr>
          <t>Устройство котлована</t>
        </r>
      </text>
    </comment>
    <comment ref="C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comments6.xml><?xml version="1.0" encoding="utf-8"?>
<comments xmlns="http://schemas.openxmlformats.org/spreadsheetml/2006/main">
  <authors>
    <author>Кузнецова Ульяна Ивановна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  <comment ref="C80" authorId="0" shapeId="0">
      <text>
        <r>
          <rPr>
            <sz val="9"/>
            <color indexed="81"/>
            <rFont val="Tahoma"/>
            <family val="2"/>
            <charset val="204"/>
          </rPr>
          <t>Устройство котлована</t>
        </r>
      </text>
    </comment>
    <comment ref="C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<sst xmlns="http://schemas.openxmlformats.org/spreadsheetml/2006/main" count="2095" uniqueCount="514">
  <si>
    <t>Smeta.RU  (495) 974-1589</t>
  </si>
  <si>
    <t>_PS_</t>
  </si>
  <si>
    <t>Smeta.RU</t>
  </si>
  <si>
    <t>ПАО "Специализированный застройщик "Орелстрой"  Доп. раб. место  FStS-0025077</t>
  </si>
  <si>
    <t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t>
  </si>
  <si>
    <t>5.1.1.1 Устройство котлована</t>
  </si>
  <si>
    <t/>
  </si>
  <si>
    <t>Кузнецова У. И.</t>
  </si>
  <si>
    <t>Сметные нормы списания</t>
  </si>
  <si>
    <t>Коды ценников</t>
  </si>
  <si>
    <t>Версия 11.0.0.6 от 03.02.2020 г. Типовой расчет (НОВОЕ СТРОИТЕЛЬСТВО или РЕКОНСТРУКЦИЯ) © ООО НТЦ «АиВТ» г.Орел [Комплекс из 2-х многоквартирных домов на земельном участке 13 по ул.Емлютина в д.Образцово, Образцовского с/п Орловского района. 1-й эта~</t>
  </si>
  <si>
    <t>ТСНБ ТЕР-2001 Орловской области (редакция 2014 г. от 2014.10.06)</t>
  </si>
  <si>
    <t>ТСНБ ТЕР-2001 Орловской области (редакция 2014 г. от 2014.10.06) + прайс-листы ПАО "Орелстрой" 2023.01</t>
  </si>
  <si>
    <t>Поправки для базы 2001 года (ред. 2014 года) от 2021.11.17 v56 (ПАО "Орелстрой")</t>
  </si>
  <si>
    <t>5.1.1.1</t>
  </si>
  <si>
    <t>Устройство котлована</t>
  </si>
  <si>
    <t>Удаление насыпного грунта и срезка растительного грунта смотри ЛСР № 4.1.3.1; №4.1.3.2</t>
  </si>
  <si>
    <t>1</t>
  </si>
  <si>
    <t>01-01-021-2</t>
  </si>
  <si>
    <t>Разработка грунта в котлованах экскаватором с ковшом вместимостью 1,0 м3, группа грунтов 2( без учета объема растительного и насыпного грунта)</t>
  </si>
  <si>
    <t>1000 м3 грунта</t>
  </si>
  <si>
    <t>01-01-021-2 ТЕР-57 (ред.2014)</t>
  </si>
  <si>
    <t>Общестроительные и специальные строительные работы</t>
  </si>
  <si>
    <t>Земляные работы, выполняемые  механизированным способом</t>
  </si>
  <si>
    <t>ФЕР-01</t>
  </si>
  <si>
    <t>2</t>
  </si>
  <si>
    <t>т03-21-001-1</t>
  </si>
  <si>
    <t>Перевозка грузов I класса автомобилями-самосвалами грузоподъемностью 10 т работающих вне карьера на расстояние до 1 км</t>
  </si>
  <si>
    <t>1 Т ГРУЗА</t>
  </si>
  <si>
    <t>т03-21-001-1 ТССЦпг-57 (ред.2014)</t>
  </si>
  <si>
    <t>Перевозка грузов. Автомобильным транспортом</t>
  </si>
  <si>
    <t>Перевозка грузов. Автомобильные перевозки  (2009-2014 г.г., раздел 3-4)</t>
  </si>
  <si>
    <t>перевозки_ФССЦ (2009 - 2014) а/п и тракт.</t>
  </si>
  <si>
    <t>3</t>
  </si>
  <si>
    <t>01-01-016-2</t>
  </si>
  <si>
    <t>Работа на отвале, группа грунтов 2-3</t>
  </si>
  <si>
    <t>01-01-016-2 ТЕР-57 (ред.2014)</t>
  </si>
  <si>
    <t>4</t>
  </si>
  <si>
    <t>01-02-057-2</t>
  </si>
  <si>
    <t>Разработка грунта вручную в траншеях глубиной до 2 м без креплений с откосами, группа грунтов 2</t>
  </si>
  <si>
    <t>100 м3 грунта</t>
  </si>
  <si>
    <t>01-02-057-2 ТЕР-57 (ред.2014)</t>
  </si>
  <si>
    <t>Поправка: Прил. 1.12, п.3.187.  Наименование: Доработка вручную, зачистка дна и стенок с выкидкой грунта в котлованах и траншеях, разработанных механизированным способом</t>
  </si>
  <si>
    <t>)*1,2</t>
  </si>
  <si>
    <t>Земляные работы, выполняемые  ручным способом</t>
  </si>
  <si>
    <t>Поправка: Прил. 1.12, п.3.187.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</si>
  <si>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</si>
  <si>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</si>
  <si>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</si>
  <si>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</si>
  <si>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</si>
  <si>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</si>
  <si>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</si>
  <si>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</si>
  <si>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</si>
  <si>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</si>
  <si>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</si>
  <si>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</si>
  <si>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</si>
  <si>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</si>
  <si>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</si>
  <si>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</si>
  <si>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</si>
  <si>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</si>
  <si>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</si>
  <si>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</si>
  <si>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</si>
  <si>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</si>
  <si>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</si>
  <si>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</si>
  <si>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</si>
  <si>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</si>
  <si>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</si>
  <si>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</si>
  <si>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</si>
  <si>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</si>
  <si>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</si>
  <si>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</si>
  <si>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</si>
  <si>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</si>
  <si>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</si>
  <si>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</si>
  <si>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</si>
  <si>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</si>
  <si>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</si>
  <si>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</si>
  <si>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</si>
  <si>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</si>
  <si>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</si>
  <si>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</si>
  <si>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</si>
  <si>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</si>
  <si>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</si>
  <si>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</si>
  <si>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</si>
  <si>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</si>
  <si>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</si>
  <si>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</si>
  <si>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</si>
  <si>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</si>
  <si>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ЕСН</t>
  </si>
  <si>
    <t>{ вкл.} - Коэф. к НР=0,85 и к СП=0,8 применяются АВТОМАТИЧЕСКИ в Текущем уровне цен и не применяется в Базовом уровне цен;  { выкл.} - Коэф. к НР=0,85 и к СП=0,8 не применяются (при производстве работ по строительству мостов, тоннелей, метрополи</t>
  </si>
  <si>
    <t>© ООО НТЦ «АиВТ» г.Орел</t>
  </si>
  <si>
    <t>Коэффициенты к НР=0,85 и к СП=0,8</t>
  </si>
  <si>
    <t>УПРОЩЕНКА</t>
  </si>
  <si>
    <t>{ вкл.} - Коэффициэнты к НР и СП применяются при упрощенной системе налогооблажения  (в зависимости от выбранного уровня цен)</t>
  </si>
  <si>
    <t>Упрощенное налогообложение</t>
  </si>
  <si>
    <t>СЛОЖНОСТЬ</t>
  </si>
  <si>
    <t>{ вкл.} - Коэффициэнты к НР и СП применяются при  реконструкции объектов метро, мостов, путепроводов, сооружений относящихся к сложным, при реконструкции и капитальном ремонте объектов с ядерными реакторами</t>
  </si>
  <si>
    <t>Сложные объекты</t>
  </si>
  <si>
    <t>ХОЗ_СПОСОБ</t>
  </si>
  <si>
    <t>{ вкл.} - Коэффициэнты к НР и СП применяются при хозяйственном способе производства работ</t>
  </si>
  <si>
    <t>Хозяйственный способ производства работ</t>
  </si>
  <si>
    <t>ЗАКР_СПОСОБ</t>
  </si>
  <si>
    <t>{ вкл.} - Обслуживающие и сопутстующие работы в тоннелях при производве работ ЗАКРЫТЫМ способом (HР=145%; СП= 75%);  { выкл.} - Обслуживающие и сопутстующие работы в тоннелях при производве работ  ОТКРЫТЫМ способом (HР=125%; СП= 60%)</t>
  </si>
  <si>
    <t>Производство работ закрытым способом (Обслуживающие и сопутстующие работы в тоннелях)</t>
  </si>
  <si>
    <t>МЕЖ_ГОРОД</t>
  </si>
  <si>
    <t>{ вкл.} - Прокладка  МЕЖДУГОРОДНИХ  волоконно-оптических линий (HР=120%; СП= 70%)  { выкл.} - Прокладка  ГОРОДСКИХ  волоконно-оптических линий (HР=100%; СП= 65%)</t>
  </si>
  <si>
    <t>Прокладка междугородних волоконно-оптических линий</t>
  </si>
  <si>
    <t>АВИА</t>
  </si>
  <si>
    <t>( вкл.) - При производстве монтажных работ на объектах диспетчеризации управления движением авиатранспортом (НР=95%, СП=55%);  ( выкл.) - При производстве монтажных работ на прочих объектах, кроме АЭС.</t>
  </si>
  <si>
    <t>Производство монтажных работ на объектах диспетчеризации управления движением авиатранспортном</t>
  </si>
  <si>
    <t>АЭС</t>
  </si>
  <si>
    <t>( вкл.) - Произовдство электро-монтажных. работ (HР=110%; СП= 68%) и контроль сварных швов (HР=101%; СП= 60%) на АЭС;  ( выкл.) - Произовдство электро-монтажных. работ (HР=95%; СП= 65%) и контроль сварных швов (HР=80%; СП= 60%) на прочих объектах</t>
  </si>
  <si>
    <t>Произовдство электро-монтажных. работ и контроль сварных швов на АЭС</t>
  </si>
  <si>
    <t>НРиСПотОЗП</t>
  </si>
  <si>
    <t>{ вкл.} - НР и СП рассчитываются от ОЗП  { выкл.} - НР и СП рассчитываются от ФОТ = ОЗП + ЗПМ</t>
  </si>
  <si>
    <t>НР и СП рассчитываются от ОЗП</t>
  </si>
  <si>
    <t>К_НР_ТЕР</t>
  </si>
  <si>
    <t>Коэффициэнт к % НР для сборников ФЕР (ТЕР) (при ремонте)</t>
  </si>
  <si>
    <t>К_СП_ТЕР</t>
  </si>
  <si>
    <t>Коэффициэнт к % СП для сборников ФЕР (ТЕР) (при ремонте)</t>
  </si>
  <si>
    <t>К_НР_ТЕРр</t>
  </si>
  <si>
    <t>Коэффициэнт к % НР для сборников ФЕРр (ТЕРр) (при ремонте)</t>
  </si>
  <si>
    <t>К_СП_ТЕРр</t>
  </si>
  <si>
    <t>Коэффициэнт к % СП для сборников ФЕРр (ТЕРр) (при ремонте)</t>
  </si>
  <si>
    <t>К_НР_12</t>
  </si>
  <si>
    <t>Коэффициэнт к % НР (с 01.12.2012) (в связи с изменением ЕСН)</t>
  </si>
  <si>
    <t>К_СП_12</t>
  </si>
  <si>
    <t>Коэффициэнт к % СП (с 01.12.2012) (в связи с изменением ЕСН)</t>
  </si>
  <si>
    <t>К_НР_11</t>
  </si>
  <si>
    <t>Коэффициэнт к % НР (с 01.01.2011 по 01.12.2012) (в связи с изменением ЕСН)</t>
  </si>
  <si>
    <t>К_СП_11</t>
  </si>
  <si>
    <t>Коэффициэнт к % СП (с 01.01.2011 по 01.12.2012) (в связи с изменением ЕСН)</t>
  </si>
  <si>
    <t>К_НР_05</t>
  </si>
  <si>
    <t>Коэффициэнт к % НР (с 01.01.2005 по 01.01.2011) (в связи с изменением ЕСН)</t>
  </si>
  <si>
    <t>К_СП_05</t>
  </si>
  <si>
    <t>Коэффициэнт к % СП (с 01.01.2005 по 01.01.2011) (в связи с изменением ЕСН)</t>
  </si>
  <si>
    <t>К_НР_УПР</t>
  </si>
  <si>
    <t>Коэффициэнт к % НР (при упрощенном налогообложении)</t>
  </si>
  <si>
    <t>К_СП_УПР</t>
  </si>
  <si>
    <t>Коэффициэнт к % СП (при упрощенном налогообложении)</t>
  </si>
  <si>
    <t>К_НР_ХОЗ</t>
  </si>
  <si>
    <t>Коэффициэнт к % НР (при хозяйственном способе производства работ)</t>
  </si>
  <si>
    <t>К_СП_ХОЗ</t>
  </si>
  <si>
    <t>Коэффициэнт к % СП (при хозяйственном способе производства работ)</t>
  </si>
  <si>
    <t>К_НР_СЛЖ</t>
  </si>
  <si>
    <t>Коэффициэнт к % НР (при реконструкции сложных объектов  и  кап. ремонте объектов с яд. реакторами)</t>
  </si>
  <si>
    <t>К_СП_СЛЖ</t>
  </si>
  <si>
    <t>Коэффициэнт к % СП (при реконструкции сложных объектов  и  кап. ремонте объектов с яд. реакторами)</t>
  </si>
  <si>
    <t>К_НР_Д1</t>
  </si>
  <si>
    <t>Коэффициэнт к % НР (Пользовательский) - применяется по желанию пользователя, значение задает пользователь.</t>
  </si>
  <si>
    <t>К_СП_Д1</t>
  </si>
  <si>
    <t>Коэффициэнт к % СП (Пользовательский) - применяется по желанию пользователя, значение задает пользователь.</t>
  </si>
  <si>
    <t>К_НР_Д2</t>
  </si>
  <si>
    <t>К_СП_Д2</t>
  </si>
  <si>
    <t>ОКРУГЛЕНИЕ</t>
  </si>
  <si>
    <t>Точность округления результата расчета % НР и % СП</t>
  </si>
  <si>
    <t>Базовый уровень цен</t>
  </si>
  <si>
    <t>I квартал 2023 г.</t>
  </si>
  <si>
    <t>Сборник индексов</t>
  </si>
  <si>
    <t>ПАО "Орелстрой" (новое строительство)</t>
  </si>
  <si>
    <t>_OBSM_</t>
  </si>
  <si>
    <t>Затраты труда машинистов</t>
  </si>
  <si>
    <t>чел.час</t>
  </si>
  <si>
    <t>060249</t>
  </si>
  <si>
    <t>060249 ТСЭМ-57 (ред.2014)</t>
  </si>
  <si>
    <t>Экскаваторы одноковшовые дизельные на гусеничном ходу при работе на других видах строительства 1 м3</t>
  </si>
  <si>
    <t>маш.-ч</t>
  </si>
  <si>
    <t>400052</t>
  </si>
  <si>
    <t>400052 ТСЭМ-57 (ред.2014)</t>
  </si>
  <si>
    <t>Автомобиль-самосвал, грузоподъемность до 10 т</t>
  </si>
  <si>
    <t>1-1020-2014-57</t>
  </si>
  <si>
    <t>Рабочий строитель среднего разряда 2</t>
  </si>
  <si>
    <t>чел.-ч</t>
  </si>
  <si>
    <t>070149</t>
  </si>
  <si>
    <t>070149 ТСЭМ-57 (ред.2014)</t>
  </si>
  <si>
    <t>Бульдозеры при работе на других видах строительства 79 кВт (108 л.с.)</t>
  </si>
  <si>
    <t>400051</t>
  </si>
  <si>
    <t>400051 ТСЭМ-57 (ред.2014)</t>
  </si>
  <si>
    <t>Автомобиль-самосвал, грузоподъемность до 7 т</t>
  </si>
  <si>
    <t>408-0015</t>
  </si>
  <si>
    <t>408-0015 ТССЦ-57 (изд.2014)</t>
  </si>
  <si>
    <t>Щебень из природного камня для строительных работ марка 800, фракция 20-40 мм</t>
  </si>
  <si>
    <t>м3</t>
  </si>
  <si>
    <t>- номер последнего сформированного листа SourceOb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</si>
  <si>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</si>
  <si>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</si>
  <si>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</si>
  <si>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</si>
  <si>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</si>
  <si>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</si>
  <si>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</si>
  <si>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</si>
  <si>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</si>
  <si>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</si>
  <si>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</si>
  <si>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3200,7/1000 = 3,2007</t>
  </si>
  <si>
    <t>2240,49*1,75+960,21*1,65 = 5505,204</t>
  </si>
  <si>
    <t>144,21/100 = 1,4421</t>
  </si>
  <si>
    <t>- номер последнего сформированного листа</t>
  </si>
  <si>
    <t>Наименование программного продукта: "Мастер сметных расчетов" v11.5, г. Орел, тел. +7 (910) 747-08-01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</si>
  <si>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</si>
  <si>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</si>
  <si>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</si>
  <si>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</si>
  <si>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</si>
  <si>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</si>
  <si>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>Инвестор:</t>
  </si>
  <si>
    <t>по ОКПО</t>
  </si>
  <si>
    <t>Заказчик:</t>
  </si>
  <si>
    <t>Генподрядчик:</t>
  </si>
  <si>
    <t>Субподрядчик:</t>
  </si>
  <si>
    <t>Стройка:</t>
  </si>
  <si>
    <t>Объект:</t>
  </si>
  <si>
    <t>Шифр:</t>
  </si>
  <si>
    <t xml:space="preserve"> 5.1.1.1 Устройство котлована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</si>
  <si>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</si>
  <si>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</si>
  <si>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</si>
  <si>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</si>
  <si>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</si>
  <si>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</si>
  <si>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</si>
  <si>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</si>
  <si>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</si>
  <si>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</si>
  <si>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</si>
  <si>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</si>
  <si>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 xml:space="preserve">Составлено в уровне цен : март 2023 года, Индексы пересчета: ПАО "Орелстрой" (новое строительство) </t>
  </si>
  <si>
    <t xml:space="preserve">Наименование и редакция СНБ: </t>
  </si>
  <si>
    <t xml:space="preserve">Сметная (договорная) стоимость в соответствии с договором подряда (субподряда): </t>
  </si>
  <si>
    <t>тыс.руб.</t>
  </si>
  <si>
    <t>Форма № 1б (им.Горностаева В.Е.)</t>
  </si>
  <si>
    <t xml:space="preserve"> 5.1.1.1 Устройство котлована </t>
  </si>
  <si>
    <t>ЛОКАЛЬНАЯ СМЕТА № 5.1.1.1</t>
  </si>
  <si>
    <t>Основание:</t>
  </si>
  <si>
    <t>Базисная цена</t>
  </si>
  <si>
    <t>Текущая цена</t>
  </si>
  <si>
    <t>Сметная стоимость</t>
  </si>
  <si>
    <t xml:space="preserve"> тыс.руб</t>
  </si>
  <si>
    <t>Средства на оплату труда</t>
  </si>
  <si>
    <t>Нормативная трудоемкость</t>
  </si>
  <si>
    <t xml:space="preserve"> чел.-ч</t>
  </si>
  <si>
    <t xml:space="preserve">Составлен в базисном уровне цен с пересчетом в текущий уровень цен по состоянию на: март 2023 года, Индексы пересчета: ПАО "Орелстрой" (новое строительство) 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</si>
  <si>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</si>
  <si>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</si>
  <si>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</si>
  <si>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</si>
  <si>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</si>
  <si>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>Единичная расценка,
руб.</t>
  </si>
  <si>
    <t>Поправочные коэффициэнты, нормы НР и СП</t>
  </si>
  <si>
    <t>Цена за единицу,
руб.</t>
  </si>
  <si>
    <t>ВСЕГО,
в базисном уровне цен, руб.</t>
  </si>
  <si>
    <t>Индексы пересчета,
нормы НР и СП</t>
  </si>
  <si>
    <t>ВСЕГО,
в уровне цен                I кв. 2023 г., руб.</t>
  </si>
  <si>
    <t xml:space="preserve">Локальная смета: </t>
  </si>
  <si>
    <t xml:space="preserve"> 5.1.1.1</t>
  </si>
  <si>
    <t xml:space="preserve"> Устройство котлована</t>
  </si>
  <si>
    <t xml:space="preserve">   ЭММ</t>
  </si>
  <si>
    <t xml:space="preserve">   в т.ч. ЗПМ</t>
  </si>
  <si>
    <t xml:space="preserve">   НР от ФОТ</t>
  </si>
  <si>
    <t>%</t>
  </si>
  <si>
    <t xml:space="preserve">   СП от ФОТ</t>
  </si>
  <si>
    <t xml:space="preserve">   Всего по позиции</t>
  </si>
  <si>
    <t xml:space="preserve">   ОЗП</t>
  </si>
  <si>
    <t xml:space="preserve">   Затраты труда рабочих</t>
  </si>
  <si>
    <t>чел-ч</t>
  </si>
  <si>
    <r>
      <t>Разработка грунта вручную в траншеях глубиной до 2 м без креплений с откосами, группа грунтов 2</t>
    </r>
    <r>
      <rPr>
        <sz val="8"/>
        <color rgb="FF0000FF"/>
        <rFont val="Arial"/>
        <family val="2"/>
        <charset val="204"/>
      </rPr>
      <t xml:space="preserve">  (Поправка: Прил. 1.12, п.3.187.) </t>
    </r>
  </si>
  <si>
    <t>*1,2</t>
  </si>
  <si>
    <t xml:space="preserve">Всего по локальной смете: </t>
  </si>
  <si>
    <t xml:space="preserve">Итого: </t>
  </si>
  <si>
    <t>- базовый итог на Source равен базовому итогу в сформированной смете (1), не равен (0)</t>
  </si>
  <si>
    <t>в том числе:</t>
  </si>
  <si>
    <t>Трудозатраты рабочих</t>
  </si>
  <si>
    <t>Оплата труда рабочих</t>
  </si>
  <si>
    <t>в том числе (по видам работ):</t>
  </si>
  <si>
    <t>01. ОЗП - Конструкции из кирпича и блоков</t>
  </si>
  <si>
    <t>02. ОЗП - Свайные работы</t>
  </si>
  <si>
    <t>03. ОЗП - Бетонные работы</t>
  </si>
  <si>
    <t>04. ОЗП - Штукатурные работы</t>
  </si>
  <si>
    <t>05. ОЗП - Облицовочные работы</t>
  </si>
  <si>
    <t>06. ОЗП - Плотничные работы</t>
  </si>
  <si>
    <t>07. ОЗП - Кровельные работы</t>
  </si>
  <si>
    <t>08. ОЗП - Монтажные работы</t>
  </si>
  <si>
    <t>09. ОЗП - Малярные работы</t>
  </si>
  <si>
    <t>10. ОЗП - Благоустройство</t>
  </si>
  <si>
    <t>11. ОЗП - Изготовление заготовок</t>
  </si>
  <si>
    <t>12. ОЗП - Монтаж лифтов</t>
  </si>
  <si>
    <t>13. ОЗП - Тех.освидетельствование лифтов</t>
  </si>
  <si>
    <t>14. ОЗП - Пусконаладочные работы</t>
  </si>
  <si>
    <t>15. ОЗП - Остальные виды работ</t>
  </si>
  <si>
    <t>16. ОЗП - Без назначенных индексов</t>
  </si>
  <si>
    <t>Эксплуатация машин и механизмов</t>
  </si>
  <si>
    <t>Оплата труда машинистов</t>
  </si>
  <si>
    <t>Стоимость материальных ресурсов и оборудования (всего)</t>
  </si>
  <si>
    <t>Стоимость материальных ресурсов и оборудования Заказчика</t>
  </si>
  <si>
    <t>Стоимость материальных ресурсов и оборудования Подрядчика</t>
  </si>
  <si>
    <t>Стоимость материальных ресурсов</t>
  </si>
  <si>
    <t>Стоимость материальных ресурсов Заказчика</t>
  </si>
  <si>
    <t>Стоимость материальных ресурсов Подрядчика</t>
  </si>
  <si>
    <t>Стоимость оборудования</t>
  </si>
  <si>
    <t>Стоимость оборудования Заказчика</t>
  </si>
  <si>
    <t>Стоимость оборудования Подрядчика</t>
  </si>
  <si>
    <t>ФОТ (справочно)</t>
  </si>
  <si>
    <t>Накладные расходы (НР)</t>
  </si>
  <si>
    <t>Сметная прибыль (СП)</t>
  </si>
  <si>
    <t xml:space="preserve">Итого с НР и СП </t>
  </si>
  <si>
    <t>в том числе (работы и затраты):</t>
  </si>
  <si>
    <t>Строительные работы</t>
  </si>
  <si>
    <t>Монтажные работы</t>
  </si>
  <si>
    <t>Оборудование</t>
  </si>
  <si>
    <t>Строительно-монтажные работы (СМР)</t>
  </si>
  <si>
    <t>Лимитированные затраты от СМР:</t>
  </si>
  <si>
    <t>Зимнее удорожание</t>
  </si>
  <si>
    <t>Итого</t>
  </si>
  <si>
    <t>Всего:</t>
  </si>
  <si>
    <t>НДС</t>
  </si>
  <si>
    <t>Всего с НДС</t>
  </si>
  <si>
    <t>Сдал:</t>
  </si>
  <si>
    <t>[должность] / [подпись]</t>
  </si>
  <si>
    <t>[расшифровка подписи]</t>
  </si>
  <si>
    <t>М.П.</t>
  </si>
  <si>
    <t>Принял:</t>
  </si>
  <si>
    <t>Исполнил:</t>
  </si>
  <si>
    <t>Проверил:</t>
  </si>
  <si>
    <t>Руководитель  сметно-расчетной службы ООО "ОДСК"</t>
  </si>
  <si>
    <t>Артамонова Ю.А.</t>
  </si>
  <si>
    <t>Руководитель ПТС ООО "ОСУ-2"</t>
  </si>
  <si>
    <t>Когтев В.И.</t>
  </si>
  <si>
    <t>Конец</t>
  </si>
  <si>
    <t>SourceOb.2</t>
  </si>
  <si>
    <t>Параметры2.xls</t>
  </si>
  <si>
    <t>Руководитель сметно-расчетной службы ООО "ОДСК"</t>
  </si>
  <si>
    <t>Руководитель ПТО ООО "ОСУ-2"</t>
  </si>
  <si>
    <t>Когтев В. И.</t>
  </si>
  <si>
    <t>- уровень цен, использованный последний раз (1 - базовый / 2 - текущий)</t>
  </si>
  <si>
    <t>РАСЧЕТ СТОИМОСТИ</t>
  </si>
  <si>
    <t>материалов</t>
  </si>
  <si>
    <t>Стройка</t>
  </si>
  <si>
    <t>№</t>
  </si>
  <si>
    <t>п/п</t>
  </si>
  <si>
    <t>Обосно-</t>
  </si>
  <si>
    <t>вание</t>
  </si>
  <si>
    <t>норматива</t>
  </si>
  <si>
    <t>Наименование</t>
  </si>
  <si>
    <t>материала</t>
  </si>
  <si>
    <t>Единица</t>
  </si>
  <si>
    <t>измере-</t>
  </si>
  <si>
    <t>ния</t>
  </si>
  <si>
    <t>Коли-</t>
  </si>
  <si>
    <t>чество</t>
  </si>
  <si>
    <t>Цена,</t>
  </si>
  <si>
    <t>руб.</t>
  </si>
  <si>
    <t>Стои-</t>
  </si>
  <si>
    <t>мость</t>
  </si>
  <si>
    <t>Расчет цены ресурса,</t>
  </si>
  <si>
    <t>наименование поставщика материала,</t>
  </si>
  <si>
    <t>наименование прайса и номер строки в прайсе</t>
  </si>
  <si>
    <t>Не найдено ни одного ресурса выбранного типа.</t>
  </si>
  <si>
    <t>оборудования</t>
  </si>
  <si>
    <t>РЕСУРСНЫЙ РАСЧЕТ</t>
  </si>
  <si>
    <t>Составлено в уровне цен : 01.01.2000 г.</t>
  </si>
  <si>
    <t>ресурсов</t>
  </si>
  <si>
    <t>Трудовые ресурсы</t>
  </si>
  <si>
    <t>Базовая цена = 0 (не задана)</t>
  </si>
  <si>
    <t>Без НДС</t>
  </si>
  <si>
    <t>Сметная цена в Базовом уровне (соответствует СНБ) = 7.87</t>
  </si>
  <si>
    <t>Машины</t>
  </si>
  <si>
    <t>Сметная цена в Базовом уровне (соответствует СНБ) = 122</t>
  </si>
  <si>
    <t>Сметная цена в Базовом уровне (соответствует СНБ) = 114.93</t>
  </si>
  <si>
    <t>Сметная цена в Базовом уровне (соответствует СНБ) = 88.79</t>
  </si>
  <si>
    <t>Сметная цена в Базовом уровне (соответствует СНБ) = 115.67</t>
  </si>
  <si>
    <t>В том числе:</t>
  </si>
  <si>
    <t>Материальные ресурсы</t>
  </si>
  <si>
    <t>ВЕДОМОСТЬ СПИСАНИЯ</t>
  </si>
  <si>
    <t>материалов и оборудования</t>
  </si>
  <si>
    <t>работ и ресурсов</t>
  </si>
  <si>
    <t>Объем</t>
  </si>
  <si>
    <t xml:space="preserve">работ </t>
  </si>
  <si>
    <t>Расход ресурсов</t>
  </si>
  <si>
    <t>на</t>
  </si>
  <si>
    <t>единицу</t>
  </si>
  <si>
    <t>по норме</t>
  </si>
  <si>
    <t>по факту</t>
  </si>
  <si>
    <t>Пере-</t>
  </si>
  <si>
    <t>расход</t>
  </si>
  <si>
    <t>Экономия</t>
  </si>
  <si>
    <t>Списать на</t>
  </si>
  <si>
    <t>себесто-</t>
  </si>
  <si>
    <t>имость</t>
  </si>
  <si>
    <t>Смета: Устройство котлована</t>
  </si>
  <si>
    <t>14-22-ОДСК-АС1</t>
  </si>
  <si>
    <t xml:space="preserve"> Главный инженер сметчик сметно-расчетной службы ООО "ОДСК"</t>
  </si>
  <si>
    <t>УДТВЕРЖДАЮ</t>
  </si>
  <si>
    <t xml:space="preserve">Директор ООО "ОСУ-2" </t>
  </si>
  <si>
    <t xml:space="preserve">ТЕХНИЧЕСКОЕ ЗАДАНИЕ </t>
  </si>
  <si>
    <t>Вид работ: СМР</t>
  </si>
  <si>
    <t>ООО "______________________________" готово выполнить полный комплекс работ на нижеследующих условиях:</t>
  </si>
  <si>
    <t>ИНН   ______________________________</t>
  </si>
  <si>
    <t>Ед изм.</t>
  </si>
  <si>
    <t>Кол-во</t>
  </si>
  <si>
    <t>Стоимость руб. с НДС.</t>
  </si>
  <si>
    <t>Итого руб. с НДС</t>
  </si>
  <si>
    <t>Механизмы:- подрядчика</t>
  </si>
  <si>
    <t>Обеспечение бытовыми помещениями (вагон-бытовками)- Подрядчик</t>
  </si>
  <si>
    <t>Охрана объекта- Генподрядчик</t>
  </si>
  <si>
    <t xml:space="preserve">Указать количество работников в штате органиации </t>
  </si>
  <si>
    <t xml:space="preserve">Опыт подтверждающий выполнение данного вида работ. (договор, акты выполненных работ на сумму договора) </t>
  </si>
  <si>
    <t>Указать список спецтехники. Предоставить договора аренды спецтехники.</t>
  </si>
  <si>
    <t>Проект рассмотрен. Расчет договорной цены  выполнен в соответствии с проектом.</t>
  </si>
  <si>
    <t>С условиями договора ознакомлен и согласен. Принимается типовая форма договора в редакции Генподрядчика.</t>
  </si>
  <si>
    <t>С условиями финансирования согласен.</t>
  </si>
  <si>
    <t xml:space="preserve">Приложения (копии документов): </t>
  </si>
  <si>
    <t>свидетельство о регистрации юридического лица (ОГРН);</t>
  </si>
  <si>
    <t>свидетельство о постановке на учет юридического лица  в налоговом органе  (ИНН);</t>
  </si>
  <si>
    <t>устав организации;</t>
  </si>
  <si>
    <t>выписка из ЕГРЮЛ ;</t>
  </si>
  <si>
    <t>документы, подтверждающие полномочия на право подписания договора (приказ о назначении на должность, протокол, решение, доверенность от организации на подписанта о наделении полномочий).</t>
  </si>
  <si>
    <t>бухгалтерский баланс (форма 1,2,5)</t>
  </si>
  <si>
    <t>м2</t>
  </si>
  <si>
    <t>Виды работ:</t>
  </si>
  <si>
    <t>После подписания договора подряда:  разработка и предоставление  ППР на выполняемые работы</t>
  </si>
  <si>
    <t>Посулихин А.А.</t>
  </si>
  <si>
    <t xml:space="preserve">Раздел: </t>
  </si>
  <si>
    <t>Разгрузка и складирование материалов за счет подрядчика, входит в стоимость работ и дополнительной оплате не подлежит</t>
  </si>
  <si>
    <t>Стоимость выполнения работ (за единицу измерения) фиксируется на период выполнения работ. При наличии дополнительно выявленных и неучтенных работ, стоимость работ согласовывается отдельно.</t>
  </si>
  <si>
    <t>Ведение журналов (общего и специальных работ. Ежемесячное предоставление АОСР</t>
  </si>
  <si>
    <t>Гарантийное удержание -5% от суммы выполненных работ за отчетный период, Гарантийные удержания накапливаются ГЕНПОДРЯДЧИКОМ и будут выплачены ПОДРЯДЧИКУ по истечении 66 (шестидесяти шести) месяцев с даты подписания Сторонами акта полностью выполненного  комплекса работ по настоящему договору. По письменному обращению ПОДРЯДЧИКА, ГЕНПОДРЯДЧИК может рассмотреть возможность досрочного возврата сумм гарантийного удержания, но не ранее 6 месяцев после ввода объекта в эксплуатацию.</t>
  </si>
  <si>
    <t>Гарантийный срок на выполняемые работы  - 66 месяцев</t>
  </si>
  <si>
    <t>карточка учета организации; - АНКЕТА ОРГАНИЗАЦИИ</t>
  </si>
  <si>
    <t xml:space="preserve"> Вход №1</t>
  </si>
  <si>
    <t>15-01-090-2</t>
  </si>
  <si>
    <t>100 М2 ОБЛИЦОВКИ</t>
  </si>
  <si>
    <t>Вход №2</t>
  </si>
  <si>
    <t xml:space="preserve"> Вход №3</t>
  </si>
  <si>
    <t>Аванс 30%</t>
  </si>
  <si>
    <t>Наличие необходимых документов для выполнения данного вида работ.  Наличие СРО (не обязательно).</t>
  </si>
  <si>
    <t>свидетельство о допуске к ведению работ (СРО) не обязательно;</t>
  </si>
  <si>
    <t>09-03-050-1</t>
  </si>
  <si>
    <t>100 М ПЛИНТУСА</t>
  </si>
  <si>
    <t>Панель стальная оцинкованная композитная  (Алюминевые композитные панели Alcotek FR)</t>
  </si>
  <si>
    <t>101-9290</t>
  </si>
  <si>
    <t>Обеспечение водой, электроэнергией- при необходимости Генподрядчик с последующей компенсацией затрат подрядчиком</t>
  </si>
  <si>
    <t xml:space="preserve"> 5.3.3.1.3 Монтаж несущих конструкций входных групп №1,2,3</t>
  </si>
  <si>
    <r>
      <t>Устройство вентилируемых фасадов с облицовкой панелями из композитных материалов без теплоизоляционного слоя (Алюминевые композитные панели Alcotek FR)</t>
    </r>
    <r>
      <rPr>
        <sz val="8"/>
        <color rgb="FF0000FF"/>
        <rFont val="Arial"/>
        <family val="2"/>
        <charset val="204"/>
      </rPr>
      <t xml:space="preserve">  (Поправка: Прил.15.10, п.3.6.) </t>
    </r>
  </si>
  <si>
    <t>Прайс</t>
  </si>
  <si>
    <t>Монтаж профиля (на весь объем, включая смету 5.3.3.2)</t>
  </si>
  <si>
    <t>08-07-001-2</t>
  </si>
  <si>
    <t>100 м2 вертикальной проекции для наружных лесов</t>
  </si>
  <si>
    <t>101-2594</t>
  </si>
  <si>
    <t>Детали деревянные лесов из пиломатериалов хвойных пород</t>
  </si>
  <si>
    <t>101-2595</t>
  </si>
  <si>
    <t>Детали стальных трубчатых лесов, укомплектованные пробками, крючками и хомутами, окрашенные</t>
  </si>
  <si>
    <t>т</t>
  </si>
  <si>
    <t>164,1</t>
  </si>
  <si>
    <t xml:space="preserve">Все материалы, в т.ч. сопутствующие, инструменты, оснастка, оборудование, расходники   и т.д.  - подрядчика </t>
  </si>
  <si>
    <t>разработка, согласование проекта  -подрядчик</t>
  </si>
  <si>
    <t xml:space="preserve">«Комплекс из 3-х многоквартирных домов по ул. Садовая, 2, расположенных в д. Жилина Орловского муниципального округа. 3-й этап строительства  - многоквартирный дом корпус 3 (поз.29)» </t>
  </si>
  <si>
    <t xml:space="preserve">Устройство вентилируемых фасадов с облицовкой панелями из композитных материалов без теплоизоляционного слоя (Алюминевые композитные панели Alcotek FR)  с нанесение нумерации квартир и подъездов входов №1,2,3,5,6,7                                                </t>
  </si>
  <si>
    <t>43,1</t>
  </si>
  <si>
    <t>Раскрой, фрезерование, гибка кассет с учетом 8% на ОЗП 2024г (вх.1,2,3)</t>
  </si>
  <si>
    <t>Установка и разборка наружных инвентарных лесов высотой до 16 м трубчатых для прочих отделочных работ</t>
  </si>
  <si>
    <t>45,1</t>
  </si>
  <si>
    <t>45,2</t>
  </si>
  <si>
    <t>45,3</t>
  </si>
  <si>
    <t>ЩИТ-1</t>
  </si>
  <si>
    <t>Щиты настила</t>
  </si>
  <si>
    <t xml:space="preserve">Устройство вентилируемых фасадов с облицовкой панелями из композитных материалов без теплоизоляционного слоя (Алюминевые композитные панели Alcotek FR)  (Поправка: Прил.15.10, п.3.6.) </t>
  </si>
  <si>
    <t>104,1</t>
  </si>
  <si>
    <t>105,1</t>
  </si>
  <si>
    <t>105,2</t>
  </si>
  <si>
    <t>105,3</t>
  </si>
  <si>
    <t>165,1</t>
  </si>
  <si>
    <t>165,2</t>
  </si>
  <si>
    <t>165,3</t>
  </si>
  <si>
    <t>Максимальная стоимость работ по разделу, руб. с  НДС</t>
  </si>
  <si>
    <t xml:space="preserve"> 5.3.3.2.5  Монтаж несущих конструкций входных групп. Сквозные проходы №5,6,7</t>
  </si>
  <si>
    <t xml:space="preserve"> Вход №5</t>
  </si>
  <si>
    <t>Устройство вентилируемых фасадов с облицовкой панелями из композитных материалов без теплоизоляционного слоя (Алюминевые композитные панели Alcotek FR)</t>
  </si>
  <si>
    <t>38,1</t>
  </si>
  <si>
    <t>Раскрой, фрезерование, гибка кассет</t>
  </si>
  <si>
    <t>40,1</t>
  </si>
  <si>
    <t>40,2</t>
  </si>
  <si>
    <t>40,3</t>
  </si>
  <si>
    <t xml:space="preserve"> Вход №6</t>
  </si>
  <si>
    <t>81,1</t>
  </si>
  <si>
    <t>82,1</t>
  </si>
  <si>
    <t>82,2</t>
  </si>
  <si>
    <t>82,3</t>
  </si>
  <si>
    <t xml:space="preserve"> Вход №7</t>
  </si>
  <si>
    <t>127,1</t>
  </si>
  <si>
    <t>128,1</t>
  </si>
  <si>
    <t>128,2</t>
  </si>
  <si>
    <t>128,3</t>
  </si>
  <si>
    <t>Максимальная стоимость работ по разделу,руб. с НДС</t>
  </si>
  <si>
    <t>Итого:  максимальная стоимость работ, руб. с НДС</t>
  </si>
  <si>
    <t>инженер ПТГ</t>
  </si>
  <si>
    <t>Н.К.Митракова</t>
  </si>
  <si>
    <t>На торги выставляются объемы  по замеру и монтажу облицовочных фасадных панелей входов №1,2,3,5,6,7 с нанесением нумерации квартир и подъездов</t>
  </si>
  <si>
    <t>В стоимость работ входит: Замер, изготовление, монтаж, сдача работ заказчику.</t>
  </si>
  <si>
    <t xml:space="preserve">В стоимость работ входят все затраты подрядчика (ОЗП, НР, СП, ЭМ, материалы и другие неучтенные затраты) . Недостатки выявленные представителями заказчика устраняются за счет подрядчика и дополнительной оплате не подлежат. </t>
  </si>
  <si>
    <t>Сроки производства работ :            с момента заключения договора до 20.10.2025г.</t>
  </si>
  <si>
    <t>№ 
п/пA14:G29C8A14:G28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</si>
</sst>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name val="Arial"/>
      <family val="2"/>
      <charset val="204"/>
    </font>
    <font>
      <b/>
      <i/>
      <u/>
      <sz val="9"/>
      <name val="Arial"/>
      <family val="2"/>
      <charset val="204"/>
    </font>
    <font>
      <b/>
      <i/>
      <sz val="9"/>
      <color rgb="FFFFFFFF"/>
      <name val="Arial"/>
      <family val="2"/>
      <charset val="204"/>
    </font>
    <font>
      <sz val="7"/>
      <color rgb="FF0000FF"/>
      <name val="Arial"/>
      <family val="2"/>
      <charset val="204"/>
    </font>
    <font>
      <sz val="9"/>
      <color rgb="FF800000"/>
      <name val="Arial"/>
      <family val="2"/>
      <charset val="204"/>
    </font>
    <font>
      <sz val="10"/>
      <color rgb="FF0000FF"/>
      <name val="Arial"/>
      <family val="2"/>
      <charset val="204"/>
    </font>
    <font>
      <sz val="8"/>
      <color rgb="FF0000FF"/>
      <name val="Arial"/>
      <family val="2"/>
      <charset val="204"/>
    </font>
    <font>
      <sz val="9"/>
      <color rgb="FF0000FF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10"/>
      <color rgb="FF000080"/>
      <name val="Arial"/>
      <family val="2"/>
      <charset val="204"/>
    </font>
    <font>
      <sz val="10"/>
      <color rgb="FF800000"/>
      <name val="Arial"/>
      <family val="2"/>
      <charset val="204"/>
    </font>
    <font>
      <sz val="10"/>
      <color rgb="FF008000"/>
      <name val="Arial"/>
      <family val="2"/>
      <charset val="204"/>
    </font>
    <font>
      <sz val="10"/>
      <color rgb="FFFF00FF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8000"/>
      <name val="Arial"/>
      <family val="2"/>
      <charset val="204"/>
    </font>
    <font>
      <b/>
      <i/>
      <u/>
      <sz val="11"/>
      <color rgb="FF00408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rgb="FF8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B0F0"/>
      <name val="Arial Narrow"/>
      <family val="2"/>
      <charset val="204"/>
    </font>
    <font>
      <sz val="11"/>
      <name val="Arial Narrow"/>
      <family val="2"/>
      <charset val="204"/>
    </font>
    <font>
      <b/>
      <sz val="14"/>
      <name val="Arial Narrow"/>
      <family val="2"/>
      <charset val="204"/>
    </font>
    <font>
      <sz val="14"/>
      <name val="Arial Narrow"/>
      <family val="2"/>
      <charset val="204"/>
    </font>
    <font>
      <b/>
      <sz val="11"/>
      <name val="Arial Narrow"/>
      <family val="2"/>
      <charset val="204"/>
    </font>
    <font>
      <u/>
      <sz val="11"/>
      <name val="Arial Narrow"/>
      <family val="2"/>
      <charset val="204"/>
    </font>
    <font>
      <b/>
      <u/>
      <sz val="11"/>
      <name val="Arial Narrow"/>
      <family val="2"/>
      <charset val="204"/>
    </font>
    <font>
      <b/>
      <sz val="11"/>
      <color rgb="FF00B0F0"/>
      <name val="Arial Narrow"/>
      <family val="2"/>
      <charset val="204"/>
    </font>
    <font>
      <sz val="16"/>
      <color rgb="FF00B0F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rgb="FF00B0F0"/>
      <name val="Arial Narrow"/>
      <family val="2"/>
      <charset val="204"/>
    </font>
    <font>
      <b/>
      <sz val="7"/>
      <color rgb="FF00B0F0"/>
      <name val="Arial Narrow"/>
      <family val="2"/>
      <charset val="204"/>
    </font>
    <font>
      <b/>
      <sz val="11"/>
      <name val="Arial"/>
      <family val="2"/>
      <charset val="204"/>
    </font>
    <font>
      <sz val="8"/>
      <name val="Arial Narrow"/>
      <family val="2"/>
      <charset val="204"/>
    </font>
    <font>
      <b/>
      <u/>
      <sz val="11"/>
      <name val="Arial"/>
      <family val="2"/>
      <charset val="204"/>
    </font>
    <font>
      <b/>
      <u/>
      <sz val="9"/>
      <name val="Arial"/>
      <family val="2"/>
      <charset val="204"/>
    </font>
    <font>
      <sz val="11"/>
      <color rgb="FFFF000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8"/>
      <color rgb="FF008000"/>
      <name val="Arial"/>
      <family val="2"/>
      <charset val="204"/>
    </font>
    <font>
      <b/>
      <sz val="12"/>
      <color rgb="FF00B0F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6" fillId="0" borderId="0"/>
    <xf numFmtId="0" fontId="11" fillId="0" borderId="0"/>
  </cellStyleXfs>
  <cellXfs count="4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17" fillId="0" borderId="0" xfId="0" applyFont="1"/>
    <xf numFmtId="0" fontId="11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49" fontId="13" fillId="0" borderId="0" xfId="0" applyNumberFormat="1" applyFont="1" applyAlignment="1">
      <alignment wrapText="1"/>
    </xf>
    <xf numFmtId="14" fontId="0" fillId="0" borderId="0" xfId="0" applyNumberFormat="1"/>
    <xf numFmtId="0" fontId="0" fillId="0" borderId="4" xfId="0" applyBorder="1"/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/>
    <xf numFmtId="49" fontId="15" fillId="0" borderId="12" xfId="0" applyNumberFormat="1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wrapText="1"/>
    </xf>
    <xf numFmtId="0" fontId="19" fillId="0" borderId="0" xfId="0" applyFont="1" applyAlignment="1">
      <alignment horizontal="right" shrinkToFit="1"/>
    </xf>
    <xf numFmtId="4" fontId="13" fillId="0" borderId="0" xfId="0" applyNumberFormat="1" applyFont="1" applyAlignment="1">
      <alignment horizontal="right" shrinkToFit="1"/>
    </xf>
    <xf numFmtId="4" fontId="12" fillId="0" borderId="0" xfId="0" applyNumberFormat="1" applyFont="1" applyAlignment="1">
      <alignment horizontal="right" shrinkToFit="1"/>
    </xf>
    <xf numFmtId="0" fontId="22" fillId="0" borderId="13" xfId="0" applyFont="1" applyBorder="1" applyAlignment="1">
      <alignment horizontal="center" wrapText="1"/>
    </xf>
    <xf numFmtId="0" fontId="0" fillId="0" borderId="19" xfId="0" applyBorder="1"/>
    <xf numFmtId="0" fontId="25" fillId="0" borderId="0" xfId="0" applyFont="1"/>
    <xf numFmtId="0" fontId="26" fillId="0" borderId="0" xfId="0" applyFont="1" applyAlignment="1">
      <alignment wrapText="1"/>
    </xf>
    <xf numFmtId="0" fontId="12" fillId="0" borderId="24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right" wrapText="1"/>
    </xf>
    <xf numFmtId="0" fontId="22" fillId="0" borderId="23" xfId="0" applyFont="1" applyBorder="1" applyAlignment="1">
      <alignment horizontal="right" shrinkToFit="1"/>
    </xf>
    <xf numFmtId="4" fontId="22" fillId="0" borderId="23" xfId="0" applyNumberFormat="1" applyFont="1" applyBorder="1" applyAlignment="1">
      <alignment horizontal="right" shrinkToFit="1"/>
    </xf>
    <xf numFmtId="3" fontId="24" fillId="0" borderId="23" xfId="0" applyNumberFormat="1" applyFont="1" applyBorder="1" applyAlignment="1">
      <alignment horizontal="right" shrinkToFit="1"/>
    </xf>
    <xf numFmtId="0" fontId="28" fillId="0" borderId="23" xfId="0" applyFont="1" applyBorder="1" applyAlignment="1">
      <alignment horizontal="right" shrinkToFit="1"/>
    </xf>
    <xf numFmtId="3" fontId="24" fillId="0" borderId="25" xfId="0" applyNumberFormat="1" applyFont="1" applyBorder="1" applyAlignment="1">
      <alignment horizontal="right" shrinkToFit="1"/>
    </xf>
    <xf numFmtId="49" fontId="12" fillId="0" borderId="23" xfId="0" applyNumberFormat="1" applyFont="1" applyBorder="1" applyAlignment="1">
      <alignment horizontal="left" vertical="top" wrapText="1"/>
    </xf>
    <xf numFmtId="49" fontId="27" fillId="0" borderId="23" xfId="0" applyNumberFormat="1" applyFont="1" applyBorder="1" applyAlignment="1">
      <alignment horizontal="left" vertical="top" wrapText="1" shrinkToFit="1"/>
    </xf>
    <xf numFmtId="0" fontId="0" fillId="0" borderId="10" xfId="0" applyBorder="1"/>
    <xf numFmtId="0" fontId="0" fillId="0" borderId="26" xfId="0" applyBorder="1"/>
    <xf numFmtId="0" fontId="0" fillId="0" borderId="27" xfId="0" applyBorder="1"/>
    <xf numFmtId="0" fontId="30" fillId="0" borderId="10" xfId="0" applyFont="1" applyBorder="1" applyAlignment="1">
      <alignment horizontal="left" vertical="top" shrinkToFit="1"/>
    </xf>
    <xf numFmtId="0" fontId="0" fillId="0" borderId="28" xfId="0" applyBorder="1"/>
    <xf numFmtId="0" fontId="0" fillId="0" borderId="15" xfId="0" applyBorder="1"/>
    <xf numFmtId="0" fontId="12" fillId="0" borderId="15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right" wrapText="1"/>
    </xf>
    <xf numFmtId="0" fontId="22" fillId="0" borderId="28" xfId="0" applyFont="1" applyBorder="1" applyAlignment="1">
      <alignment horizontal="right" shrinkToFit="1"/>
    </xf>
    <xf numFmtId="4" fontId="22" fillId="0" borderId="28" xfId="0" applyNumberFormat="1" applyFont="1" applyBorder="1" applyAlignment="1">
      <alignment horizontal="right" shrinkToFit="1"/>
    </xf>
    <xf numFmtId="0" fontId="31" fillId="0" borderId="28" xfId="0" applyFont="1" applyBorder="1" applyAlignment="1">
      <alignment horizontal="left" shrinkToFit="1"/>
    </xf>
    <xf numFmtId="3" fontId="22" fillId="0" borderId="28" xfId="0" applyNumberFormat="1" applyFont="1" applyBorder="1" applyAlignment="1">
      <alignment horizontal="right" shrinkToFit="1"/>
    </xf>
    <xf numFmtId="0" fontId="28" fillId="0" borderId="28" xfId="0" applyFont="1" applyBorder="1" applyAlignment="1">
      <alignment horizontal="right" shrinkToFit="1"/>
    </xf>
    <xf numFmtId="3" fontId="22" fillId="0" borderId="29" xfId="0" applyNumberFormat="1" applyFont="1" applyBorder="1" applyAlignment="1">
      <alignment horizontal="right" shrinkToFit="1"/>
    </xf>
    <xf numFmtId="4" fontId="0" fillId="0" borderId="0" xfId="0" applyNumberFormat="1"/>
    <xf numFmtId="0" fontId="32" fillId="0" borderId="15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right" wrapText="1"/>
    </xf>
    <xf numFmtId="0" fontId="33" fillId="0" borderId="28" xfId="0" applyFont="1" applyBorder="1" applyAlignment="1">
      <alignment horizontal="right" shrinkToFit="1"/>
    </xf>
    <xf numFmtId="4" fontId="33" fillId="0" borderId="28" xfId="0" applyNumberFormat="1" applyFont="1" applyBorder="1" applyAlignment="1">
      <alignment horizontal="left" shrinkToFit="1"/>
    </xf>
    <xf numFmtId="0" fontId="33" fillId="0" borderId="28" xfId="0" applyFont="1" applyBorder="1" applyAlignment="1">
      <alignment horizontal="left" shrinkToFit="1"/>
    </xf>
    <xf numFmtId="4" fontId="33" fillId="0" borderId="28" xfId="0" applyNumberFormat="1" applyFont="1" applyBorder="1" applyAlignment="1">
      <alignment horizontal="right" shrinkToFit="1"/>
    </xf>
    <xf numFmtId="3" fontId="33" fillId="0" borderId="28" xfId="0" applyNumberFormat="1" applyFont="1" applyBorder="1" applyAlignment="1">
      <alignment horizontal="right" shrinkToFit="1"/>
    </xf>
    <xf numFmtId="3" fontId="33" fillId="0" borderId="29" xfId="0" applyNumberFormat="1" applyFont="1" applyBorder="1" applyAlignment="1">
      <alignment horizontal="right" shrinkToFit="1"/>
    </xf>
    <xf numFmtId="9" fontId="33" fillId="0" borderId="28" xfId="0" applyNumberFormat="1" applyFont="1" applyBorder="1" applyAlignment="1">
      <alignment horizontal="right" shrinkToFit="1"/>
    </xf>
    <xf numFmtId="0" fontId="18" fillId="0" borderId="28" xfId="0" applyFont="1" applyBorder="1" applyAlignment="1">
      <alignment vertical="top" shrinkToFit="1"/>
    </xf>
    <xf numFmtId="0" fontId="18" fillId="0" borderId="15" xfId="0" applyFont="1" applyBorder="1" applyAlignment="1">
      <alignment vertical="top" shrinkToFit="1"/>
    </xf>
    <xf numFmtId="0" fontId="32" fillId="0" borderId="16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right" wrapText="1"/>
    </xf>
    <xf numFmtId="0" fontId="33" fillId="0" borderId="30" xfId="0" applyFont="1" applyBorder="1" applyAlignment="1">
      <alignment horizontal="right" shrinkToFit="1"/>
    </xf>
    <xf numFmtId="4" fontId="33" fillId="0" borderId="30" xfId="0" applyNumberFormat="1" applyFont="1" applyBorder="1" applyAlignment="1">
      <alignment horizontal="left" shrinkToFit="1"/>
    </xf>
    <xf numFmtId="0" fontId="33" fillId="0" borderId="30" xfId="0" applyFont="1" applyBorder="1" applyAlignment="1">
      <alignment horizontal="left" shrinkToFit="1"/>
    </xf>
    <xf numFmtId="4" fontId="33" fillId="0" borderId="30" xfId="0" applyNumberFormat="1" applyFont="1" applyBorder="1" applyAlignment="1">
      <alignment horizontal="right" shrinkToFit="1"/>
    </xf>
    <xf numFmtId="3" fontId="33" fillId="0" borderId="30" xfId="0" applyNumberFormat="1" applyFont="1" applyBorder="1" applyAlignment="1">
      <alignment horizontal="right" shrinkToFit="1"/>
    </xf>
    <xf numFmtId="9" fontId="33" fillId="0" borderId="30" xfId="0" applyNumberFormat="1" applyFont="1" applyBorder="1" applyAlignment="1">
      <alignment horizontal="right" shrinkToFit="1"/>
    </xf>
    <xf numFmtId="3" fontId="33" fillId="0" borderId="31" xfId="0" applyNumberFormat="1" applyFont="1" applyBorder="1" applyAlignment="1">
      <alignment horizontal="right" shrinkToFit="1"/>
    </xf>
    <xf numFmtId="0" fontId="0" fillId="0" borderId="5" xfId="0" applyBorder="1"/>
    <xf numFmtId="0" fontId="12" fillId="0" borderId="34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right" wrapText="1"/>
    </xf>
    <xf numFmtId="0" fontId="22" fillId="0" borderId="6" xfId="0" applyFont="1" applyBorder="1" applyAlignment="1">
      <alignment horizontal="right" shrinkToFit="1"/>
    </xf>
    <xf numFmtId="4" fontId="22" fillId="0" borderId="6" xfId="0" applyNumberFormat="1" applyFont="1" applyBorder="1" applyAlignment="1">
      <alignment horizontal="right" shrinkToFit="1"/>
    </xf>
    <xf numFmtId="3" fontId="24" fillId="0" borderId="6" xfId="0" applyNumberFormat="1" applyFont="1" applyBorder="1" applyAlignment="1">
      <alignment horizontal="right" shrinkToFit="1"/>
    </xf>
    <xf numFmtId="0" fontId="28" fillId="0" borderId="6" xfId="0" applyFont="1" applyBorder="1" applyAlignment="1">
      <alignment horizontal="right" shrinkToFit="1"/>
    </xf>
    <xf numFmtId="3" fontId="24" fillId="0" borderId="35" xfId="0" applyNumberFormat="1" applyFont="1" applyBorder="1" applyAlignment="1">
      <alignment horizontal="right" shrinkToFit="1"/>
    </xf>
    <xf numFmtId="49" fontId="12" fillId="0" borderId="6" xfId="0" applyNumberFormat="1" applyFont="1" applyBorder="1" applyAlignment="1">
      <alignment horizontal="left" vertical="top" wrapText="1"/>
    </xf>
    <xf numFmtId="49" fontId="27" fillId="0" borderId="6" xfId="0" applyNumberFormat="1" applyFont="1" applyBorder="1" applyAlignment="1">
      <alignment horizontal="left" vertical="top" wrapText="1" shrinkToFit="1"/>
    </xf>
    <xf numFmtId="0" fontId="12" fillId="0" borderId="16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right" wrapText="1"/>
    </xf>
    <xf numFmtId="0" fontId="22" fillId="0" borderId="30" xfId="0" applyFont="1" applyBorder="1" applyAlignment="1">
      <alignment horizontal="right" shrinkToFit="1"/>
    </xf>
    <xf numFmtId="4" fontId="22" fillId="0" borderId="30" xfId="0" applyNumberFormat="1" applyFont="1" applyBorder="1" applyAlignment="1">
      <alignment horizontal="right" shrinkToFit="1"/>
    </xf>
    <xf numFmtId="0" fontId="31" fillId="0" borderId="30" xfId="0" applyFont="1" applyBorder="1" applyAlignment="1">
      <alignment horizontal="left" shrinkToFit="1"/>
    </xf>
    <xf numFmtId="3" fontId="22" fillId="0" borderId="30" xfId="0" applyNumberFormat="1" applyFont="1" applyBorder="1" applyAlignment="1">
      <alignment horizontal="right" shrinkToFit="1"/>
    </xf>
    <xf numFmtId="0" fontId="28" fillId="0" borderId="30" xfId="0" applyFont="1" applyBorder="1" applyAlignment="1">
      <alignment horizontal="right" shrinkToFit="1"/>
    </xf>
    <xf numFmtId="3" fontId="22" fillId="0" borderId="31" xfId="0" applyNumberFormat="1" applyFont="1" applyBorder="1" applyAlignment="1">
      <alignment horizontal="right" shrinkToFit="1"/>
    </xf>
    <xf numFmtId="0" fontId="12" fillId="0" borderId="2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right" wrapText="1"/>
    </xf>
    <xf numFmtId="0" fontId="22" fillId="0" borderId="10" xfId="0" applyFont="1" applyBorder="1" applyAlignment="1">
      <alignment horizontal="right" shrinkToFit="1"/>
    </xf>
    <xf numFmtId="4" fontId="22" fillId="0" borderId="10" xfId="0" applyNumberFormat="1" applyFont="1" applyBorder="1" applyAlignment="1">
      <alignment horizontal="right" shrinkToFit="1"/>
    </xf>
    <xf numFmtId="0" fontId="31" fillId="0" borderId="10" xfId="0" applyFont="1" applyBorder="1" applyAlignment="1">
      <alignment horizontal="left" shrinkToFit="1"/>
    </xf>
    <xf numFmtId="3" fontId="22" fillId="0" borderId="10" xfId="0" applyNumberFormat="1" applyFont="1" applyBorder="1" applyAlignment="1">
      <alignment horizontal="right" shrinkToFit="1"/>
    </xf>
    <xf numFmtId="0" fontId="28" fillId="0" borderId="10" xfId="0" applyFont="1" applyBorder="1" applyAlignment="1">
      <alignment horizontal="right" shrinkToFit="1"/>
    </xf>
    <xf numFmtId="3" fontId="22" fillId="0" borderId="27" xfId="0" applyNumberFormat="1" applyFont="1" applyBorder="1" applyAlignment="1">
      <alignment horizontal="right" shrinkToFit="1"/>
    </xf>
    <xf numFmtId="4" fontId="12" fillId="0" borderId="30" xfId="0" applyNumberFormat="1" applyFont="1" applyBorder="1" applyAlignment="1">
      <alignment horizontal="right" vertical="top" shrinkToFit="1"/>
    </xf>
    <xf numFmtId="0" fontId="0" fillId="0" borderId="19" xfId="0" applyBorder="1" applyAlignment="1">
      <alignment shrinkToFit="1"/>
    </xf>
    <xf numFmtId="0" fontId="18" fillId="0" borderId="19" xfId="0" applyFont="1" applyBorder="1" applyAlignment="1">
      <alignment shrinkToFit="1"/>
    </xf>
    <xf numFmtId="3" fontId="18" fillId="0" borderId="19" xfId="0" applyNumberFormat="1" applyFont="1" applyBorder="1" applyAlignment="1">
      <alignment shrinkToFit="1"/>
    </xf>
    <xf numFmtId="0" fontId="34" fillId="0" borderId="0" xfId="0" applyFont="1"/>
    <xf numFmtId="4" fontId="11" fillId="0" borderId="0" xfId="0" applyNumberFormat="1" applyFont="1" applyAlignment="1">
      <alignment shrinkToFit="1"/>
    </xf>
    <xf numFmtId="3" fontId="11" fillId="0" borderId="0" xfId="0" applyNumberFormat="1" applyFont="1" applyAlignment="1">
      <alignment shrinkToFit="1"/>
    </xf>
    <xf numFmtId="0" fontId="34" fillId="0" borderId="0" xfId="0" applyFont="1" applyAlignment="1">
      <alignment horizontal="left" indent="1"/>
    </xf>
    <xf numFmtId="0" fontId="35" fillId="0" borderId="0" xfId="0" applyFont="1"/>
    <xf numFmtId="0" fontId="35" fillId="0" borderId="0" xfId="0" applyFont="1" applyAlignment="1">
      <alignment horizontal="left" indent="2"/>
    </xf>
    <xf numFmtId="3" fontId="35" fillId="0" borderId="0" xfId="0" applyNumberFormat="1" applyFont="1" applyAlignment="1">
      <alignment shrinkToFit="1"/>
    </xf>
    <xf numFmtId="0" fontId="34" fillId="0" borderId="0" xfId="0" applyFont="1" applyAlignment="1">
      <alignment horizontal="left" indent="3"/>
    </xf>
    <xf numFmtId="0" fontId="35" fillId="0" borderId="0" xfId="0" applyFont="1" applyAlignment="1">
      <alignment horizontal="left" indent="4"/>
    </xf>
    <xf numFmtId="0" fontId="29" fillId="0" borderId="0" xfId="0" applyFont="1"/>
    <xf numFmtId="0" fontId="29" fillId="0" borderId="0" xfId="0" applyFont="1" applyAlignment="1">
      <alignment horizontal="left" indent="2"/>
    </xf>
    <xf numFmtId="3" fontId="29" fillId="0" borderId="0" xfId="0" applyNumberFormat="1" applyFont="1" applyAlignment="1">
      <alignment shrinkToFit="1"/>
    </xf>
    <xf numFmtId="0" fontId="29" fillId="0" borderId="0" xfId="0" applyFont="1" applyAlignment="1">
      <alignment horizontal="left" indent="4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36" fillId="0" borderId="0" xfId="0" applyFont="1"/>
    <xf numFmtId="0" fontId="36" fillId="0" borderId="0" xfId="0" applyFont="1" applyAlignment="1">
      <alignment horizontal="left" indent="6"/>
    </xf>
    <xf numFmtId="3" fontId="36" fillId="0" borderId="0" xfId="0" applyNumberFormat="1" applyFont="1" applyAlignment="1">
      <alignment shrinkToFit="1"/>
    </xf>
    <xf numFmtId="0" fontId="36" fillId="0" borderId="0" xfId="0" applyFont="1" applyAlignment="1">
      <alignment horizontal="left" indent="8"/>
    </xf>
    <xf numFmtId="0" fontId="37" fillId="0" borderId="0" xfId="0" applyFont="1"/>
    <xf numFmtId="0" fontId="37" fillId="0" borderId="0" xfId="0" applyFont="1" applyAlignment="1">
      <alignment horizontal="left" indent="6"/>
    </xf>
    <xf numFmtId="3" fontId="37" fillId="0" borderId="0" xfId="0" applyNumberFormat="1" applyFont="1" applyAlignment="1">
      <alignment shrinkToFit="1"/>
    </xf>
    <xf numFmtId="0" fontId="37" fillId="0" borderId="0" xfId="0" applyFont="1" applyAlignment="1">
      <alignment horizontal="left" indent="8"/>
    </xf>
    <xf numFmtId="0" fontId="38" fillId="0" borderId="0" xfId="0" applyFont="1"/>
    <xf numFmtId="3" fontId="38" fillId="0" borderId="0" xfId="0" applyNumberFormat="1" applyFont="1" applyAlignment="1">
      <alignment shrinkToFit="1"/>
    </xf>
    <xf numFmtId="3" fontId="18" fillId="0" borderId="0" xfId="0" applyNumberFormat="1" applyFont="1" applyAlignment="1">
      <alignment shrinkToFit="1"/>
    </xf>
    <xf numFmtId="0" fontId="37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4" fontId="18" fillId="0" borderId="0" xfId="0" applyNumberFormat="1" applyFont="1" applyAlignment="1">
      <alignment shrinkToFit="1"/>
    </xf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0" xfId="0" applyFont="1" applyAlignment="1">
      <alignment wrapText="1"/>
    </xf>
    <xf numFmtId="0" fontId="39" fillId="0" borderId="0" xfId="0" applyFont="1" applyAlignment="1">
      <alignment horizontal="left"/>
    </xf>
    <xf numFmtId="0" fontId="39" fillId="0" borderId="0" xfId="0" applyFont="1"/>
    <xf numFmtId="0" fontId="21" fillId="0" borderId="0" xfId="0" applyFont="1" applyAlignment="1">
      <alignment wrapText="1"/>
    </xf>
    <xf numFmtId="0" fontId="22" fillId="0" borderId="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left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0" fillId="0" borderId="7" xfId="0" applyBorder="1"/>
    <xf numFmtId="0" fontId="18" fillId="0" borderId="0" xfId="0" applyFont="1" applyAlignment="1">
      <alignment horizontal="left" vertical="top"/>
    </xf>
    <xf numFmtId="3" fontId="18" fillId="0" borderId="0" xfId="0" applyNumberFormat="1" applyFont="1" applyAlignment="1">
      <alignment horizontal="right" vertical="top" shrinkToFit="1"/>
    </xf>
    <xf numFmtId="3" fontId="17" fillId="0" borderId="0" xfId="0" applyNumberFormat="1" applyFont="1"/>
    <xf numFmtId="0" fontId="0" fillId="0" borderId="6" xfId="0" applyFill="1" applyBorder="1"/>
    <xf numFmtId="0" fontId="18" fillId="0" borderId="6" xfId="0" applyFont="1" applyFill="1" applyBorder="1" applyAlignment="1">
      <alignment horizontal="left" vertical="top"/>
    </xf>
    <xf numFmtId="3" fontId="18" fillId="0" borderId="6" xfId="0" applyNumberFormat="1" applyFont="1" applyFill="1" applyBorder="1" applyAlignment="1">
      <alignment horizontal="right" vertical="top" shrinkToFit="1"/>
    </xf>
    <xf numFmtId="0" fontId="18" fillId="0" borderId="6" xfId="0" applyFont="1" applyFill="1" applyBorder="1"/>
    <xf numFmtId="0" fontId="22" fillId="0" borderId="6" xfId="0" applyFont="1" applyFill="1" applyBorder="1" applyAlignment="1">
      <alignment horizontal="center" vertical="top" shrinkToFit="1"/>
    </xf>
    <xf numFmtId="0" fontId="22" fillId="0" borderId="6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right" shrinkToFit="1"/>
    </xf>
    <xf numFmtId="4" fontId="22" fillId="0" borderId="6" xfId="0" applyNumberFormat="1" applyFont="1" applyFill="1" applyBorder="1" applyAlignment="1">
      <alignment horizontal="right" shrinkToFit="1"/>
    </xf>
    <xf numFmtId="3" fontId="22" fillId="0" borderId="6" xfId="0" applyNumberFormat="1" applyFont="1" applyFill="1" applyBorder="1" applyAlignment="1">
      <alignment horizontal="right" shrinkToFit="1"/>
    </xf>
    <xf numFmtId="0" fontId="42" fillId="0" borderId="6" xfId="0" applyFont="1" applyFill="1" applyBorder="1" applyAlignment="1">
      <alignment horizontal="left" vertical="top" wrapText="1"/>
    </xf>
    <xf numFmtId="0" fontId="33" fillId="0" borderId="6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indent="1"/>
    </xf>
    <xf numFmtId="0" fontId="44" fillId="0" borderId="0" xfId="0" applyFont="1" applyAlignment="1">
      <alignment wrapText="1"/>
    </xf>
    <xf numFmtId="0" fontId="45" fillId="0" borderId="6" xfId="0" applyFont="1" applyFill="1" applyBorder="1" applyAlignment="1">
      <alignment horizontal="center" vertical="top" shrinkToFit="1"/>
    </xf>
    <xf numFmtId="0" fontId="45" fillId="0" borderId="6" xfId="0" applyFont="1" applyFill="1" applyBorder="1" applyAlignment="1">
      <alignment horizontal="left" vertical="top" wrapText="1"/>
    </xf>
    <xf numFmtId="0" fontId="45" fillId="0" borderId="6" xfId="0" applyFont="1" applyFill="1" applyBorder="1" applyAlignment="1">
      <alignment horizontal="right" shrinkToFit="1"/>
    </xf>
    <xf numFmtId="0" fontId="45" fillId="0" borderId="6" xfId="0" applyFont="1" applyFill="1" applyBorder="1"/>
    <xf numFmtId="0" fontId="57" fillId="0" borderId="0" xfId="2" applyFont="1" applyFill="1" applyAlignment="1" applyProtection="1">
      <alignment vertical="center"/>
    </xf>
    <xf numFmtId="0" fontId="51" fillId="0" borderId="0" xfId="2" applyNumberFormat="1" applyFont="1" applyFill="1" applyBorder="1" applyAlignment="1" applyProtection="1">
      <alignment vertical="top"/>
    </xf>
    <xf numFmtId="2" fontId="51" fillId="0" borderId="0" xfId="2" applyNumberFormat="1" applyFont="1" applyFill="1" applyBorder="1" applyAlignment="1" applyProtection="1">
      <alignment vertical="top"/>
    </xf>
    <xf numFmtId="2" fontId="51" fillId="0" borderId="0" xfId="2" applyNumberFormat="1" applyFont="1" applyFill="1" applyBorder="1" applyAlignment="1" applyProtection="1">
      <alignment horizontal="left" vertical="top"/>
    </xf>
    <xf numFmtId="0" fontId="51" fillId="0" borderId="0" xfId="2" applyNumberFormat="1" applyFont="1" applyFill="1" applyBorder="1" applyAlignment="1" applyProtection="1">
      <alignment horizontal="left" vertical="top"/>
    </xf>
    <xf numFmtId="0" fontId="47" fillId="0" borderId="0" xfId="1" applyFont="1" applyFill="1" applyProtection="1"/>
    <xf numFmtId="0" fontId="47" fillId="0" borderId="0" xfId="1" applyFont="1" applyFill="1" applyAlignment="1" applyProtection="1">
      <alignment horizontal="center"/>
    </xf>
    <xf numFmtId="0" fontId="47" fillId="0" borderId="0" xfId="2" applyFont="1" applyFill="1" applyProtection="1"/>
    <xf numFmtId="0" fontId="47" fillId="0" borderId="9" xfId="1" applyFont="1" applyFill="1" applyBorder="1" applyAlignment="1" applyProtection="1">
      <alignment horizontal="center"/>
    </xf>
    <xf numFmtId="2" fontId="47" fillId="0" borderId="9" xfId="1" applyNumberFormat="1" applyFont="1" applyFill="1" applyBorder="1" applyProtection="1"/>
    <xf numFmtId="2" fontId="48" fillId="0" borderId="0" xfId="1" applyNumberFormat="1" applyFont="1" applyFill="1" applyAlignment="1" applyProtection="1">
      <alignment horizontal="right"/>
    </xf>
    <xf numFmtId="0" fontId="47" fillId="0" borderId="0" xfId="1" applyFont="1" applyFill="1" applyBorder="1" applyAlignment="1" applyProtection="1">
      <alignment horizontal="center"/>
    </xf>
    <xf numFmtId="2" fontId="47" fillId="0" borderId="0" xfId="1" applyNumberFormat="1" applyFont="1" applyFill="1" applyBorder="1" applyProtection="1"/>
    <xf numFmtId="0" fontId="47" fillId="0" borderId="0" xfId="2" applyFont="1" applyFill="1" applyAlignment="1" applyProtection="1">
      <alignment horizontal="center"/>
    </xf>
    <xf numFmtId="0" fontId="47" fillId="0" borderId="0" xfId="2" applyFont="1" applyFill="1" applyBorder="1" applyAlignment="1" applyProtection="1">
      <alignment horizontal="center"/>
    </xf>
    <xf numFmtId="2" fontId="47" fillId="0" borderId="0" xfId="2" applyNumberFormat="1" applyFont="1" applyFill="1" applyBorder="1" applyProtection="1"/>
    <xf numFmtId="2" fontId="48" fillId="0" borderId="0" xfId="2" applyNumberFormat="1" applyFont="1" applyFill="1" applyBorder="1" applyAlignment="1" applyProtection="1">
      <alignment horizontal="right"/>
    </xf>
    <xf numFmtId="0" fontId="50" fillId="0" borderId="0" xfId="2" applyFont="1" applyFill="1" applyProtection="1"/>
    <xf numFmtId="0" fontId="50" fillId="0" borderId="0" xfId="2" applyFont="1" applyFill="1" applyAlignment="1" applyProtection="1">
      <alignment horizontal="center"/>
    </xf>
    <xf numFmtId="0" fontId="48" fillId="0" borderId="0" xfId="2" applyFont="1" applyFill="1" applyProtection="1"/>
    <xf numFmtId="0" fontId="51" fillId="0" borderId="0" xfId="2" applyFont="1" applyFill="1" applyProtection="1"/>
    <xf numFmtId="0" fontId="48" fillId="0" borderId="0" xfId="2" applyFont="1" applyFill="1" applyAlignment="1" applyProtection="1">
      <alignment horizontal="center" vertical="center" wrapText="1"/>
    </xf>
    <xf numFmtId="2" fontId="48" fillId="0" borderId="0" xfId="2" applyNumberFormat="1" applyFont="1" applyFill="1" applyAlignment="1" applyProtection="1"/>
    <xf numFmtId="2" fontId="48" fillId="0" borderId="0" xfId="2" applyNumberFormat="1" applyFont="1" applyFill="1" applyProtection="1"/>
    <xf numFmtId="0" fontId="52" fillId="0" borderId="0" xfId="2" applyFont="1" applyFill="1" applyAlignment="1" applyProtection="1">
      <alignment vertical="center" wrapText="1"/>
    </xf>
    <xf numFmtId="0" fontId="53" fillId="0" borderId="0" xfId="2" applyFont="1" applyFill="1" applyAlignment="1" applyProtection="1">
      <alignment vertical="center" wrapText="1"/>
    </xf>
    <xf numFmtId="0" fontId="54" fillId="0" borderId="0" xfId="2" applyFont="1" applyFill="1" applyProtection="1"/>
    <xf numFmtId="0" fontId="51" fillId="0" borderId="0" xfId="2" applyFont="1" applyFill="1" applyBorder="1" applyAlignment="1" applyProtection="1">
      <alignment horizontal="left" vertical="center" wrapText="1"/>
      <protection locked="0"/>
    </xf>
    <xf numFmtId="2" fontId="51" fillId="0" borderId="0" xfId="2" applyNumberFormat="1" applyFont="1" applyFill="1" applyBorder="1" applyAlignment="1" applyProtection="1">
      <alignment horizontal="left" vertical="center" wrapText="1"/>
      <protection locked="0"/>
    </xf>
    <xf numFmtId="49" fontId="48" fillId="0" borderId="0" xfId="2" applyNumberFormat="1" applyFont="1" applyFill="1" applyAlignment="1" applyProtection="1">
      <alignment horizontal="center" vertical="center"/>
    </xf>
    <xf numFmtId="0" fontId="48" fillId="0" borderId="0" xfId="2" applyFont="1" applyFill="1" applyAlignment="1" applyProtection="1">
      <alignment horizontal="center"/>
    </xf>
    <xf numFmtId="0" fontId="58" fillId="0" borderId="0" xfId="2" applyFont="1" applyFill="1" applyAlignment="1" applyProtection="1">
      <alignment vertical="center"/>
    </xf>
    <xf numFmtId="0" fontId="51" fillId="0" borderId="6" xfId="2" applyFont="1" applyFill="1" applyBorder="1" applyAlignment="1" applyProtection="1">
      <alignment horizontal="center" wrapText="1"/>
    </xf>
    <xf numFmtId="0" fontId="51" fillId="0" borderId="6" xfId="2" applyNumberFormat="1" applyFont="1" applyFill="1" applyBorder="1" applyAlignment="1" applyProtection="1">
      <alignment horizontal="center"/>
    </xf>
    <xf numFmtId="2" fontId="51" fillId="0" borderId="0" xfId="2" applyNumberFormat="1" applyFont="1" applyFill="1" applyProtection="1">
      <protection locked="0"/>
    </xf>
    <xf numFmtId="0" fontId="51" fillId="0" borderId="0" xfId="2" applyFont="1" applyFill="1" applyBorder="1" applyAlignment="1" applyProtection="1">
      <alignment horizontal="left"/>
      <protection locked="0"/>
    </xf>
    <xf numFmtId="0" fontId="51" fillId="0" borderId="0" xfId="2" applyFont="1" applyFill="1" applyBorder="1" applyAlignment="1" applyProtection="1">
      <alignment horizontal="left" wrapText="1"/>
      <protection locked="0"/>
    </xf>
    <xf numFmtId="0" fontId="51" fillId="0" borderId="0" xfId="2" applyFont="1" applyFill="1" applyAlignment="1" applyProtection="1">
      <alignment horizontal="center"/>
      <protection locked="0"/>
    </xf>
    <xf numFmtId="0" fontId="48" fillId="0" borderId="0" xfId="2" applyFont="1" applyFill="1" applyAlignment="1" applyProtection="1">
      <alignment horizontal="right"/>
    </xf>
    <xf numFmtId="0" fontId="48" fillId="0" borderId="0" xfId="2" applyFont="1" applyFill="1" applyAlignment="1" applyProtection="1">
      <alignment horizontal="right" vertical="top"/>
    </xf>
    <xf numFmtId="2" fontId="51" fillId="0" borderId="0" xfId="2" applyNumberFormat="1" applyFont="1" applyFill="1" applyAlignment="1" applyProtection="1">
      <alignment vertical="top"/>
    </xf>
    <xf numFmtId="2" fontId="51" fillId="0" borderId="0" xfId="2" applyNumberFormat="1" applyFont="1" applyFill="1" applyAlignment="1" applyProtection="1">
      <alignment horizontal="left" vertical="top"/>
    </xf>
    <xf numFmtId="0" fontId="48" fillId="0" borderId="0" xfId="2" applyFont="1" applyFill="1" applyAlignment="1" applyProtection="1">
      <alignment vertical="top"/>
    </xf>
    <xf numFmtId="49" fontId="48" fillId="0" borderId="0" xfId="2" applyNumberFormat="1" applyFont="1" applyFill="1" applyAlignment="1" applyProtection="1">
      <alignment horizontal="right" vertical="top"/>
    </xf>
    <xf numFmtId="49" fontId="60" fillId="0" borderId="0" xfId="2" applyNumberFormat="1" applyFont="1" applyFill="1" applyAlignment="1" applyProtection="1">
      <alignment horizontal="right" vertical="top"/>
    </xf>
    <xf numFmtId="0" fontId="48" fillId="0" borderId="0" xfId="2" applyFont="1" applyFill="1" applyBorder="1" applyAlignment="1" applyProtection="1">
      <alignment horizontal="center"/>
    </xf>
    <xf numFmtId="2" fontId="47" fillId="0" borderId="0" xfId="2" applyNumberFormat="1" applyFont="1" applyFill="1" applyProtection="1"/>
    <xf numFmtId="0" fontId="47" fillId="0" borderId="0" xfId="2" applyFont="1" applyFill="1" applyBorder="1" applyProtection="1"/>
    <xf numFmtId="0" fontId="12" fillId="2" borderId="34" xfId="0" applyFont="1" applyFill="1" applyBorder="1" applyAlignment="1">
      <alignment horizontal="left" vertical="top" wrapText="1"/>
    </xf>
    <xf numFmtId="49" fontId="12" fillId="2" borderId="6" xfId="0" applyNumberFormat="1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right" wrapText="1"/>
    </xf>
    <xf numFmtId="0" fontId="22" fillId="2" borderId="6" xfId="0" applyFont="1" applyFill="1" applyBorder="1" applyAlignment="1">
      <alignment horizontal="right" shrinkToFit="1"/>
    </xf>
    <xf numFmtId="4" fontId="24" fillId="2" borderId="6" xfId="0" applyNumberFormat="1" applyFont="1" applyFill="1" applyBorder="1" applyAlignment="1">
      <alignment horizontal="right" shrinkToFit="1"/>
    </xf>
    <xf numFmtId="3" fontId="24" fillId="2" borderId="35" xfId="0" applyNumberFormat="1" applyFont="1" applyFill="1" applyBorder="1" applyAlignment="1">
      <alignment horizontal="right" shrinkToFit="1"/>
    </xf>
    <xf numFmtId="0" fontId="17" fillId="2" borderId="0" xfId="0" applyFont="1" applyFill="1"/>
    <xf numFmtId="0" fontId="0" fillId="2" borderId="0" xfId="0" applyFill="1"/>
    <xf numFmtId="0" fontId="65" fillId="2" borderId="26" xfId="0" applyFont="1" applyFill="1" applyBorder="1" applyAlignment="1">
      <alignment horizontal="left" vertical="top" wrapText="1"/>
    </xf>
    <xf numFmtId="49" fontId="65" fillId="2" borderId="10" xfId="0" applyNumberFormat="1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65" fillId="2" borderId="10" xfId="0" applyFont="1" applyFill="1" applyBorder="1" applyAlignment="1">
      <alignment horizontal="right" wrapText="1"/>
    </xf>
    <xf numFmtId="0" fontId="42" fillId="2" borderId="10" xfId="0" applyFont="1" applyFill="1" applyBorder="1" applyAlignment="1">
      <alignment horizontal="right" shrinkToFit="1"/>
    </xf>
    <xf numFmtId="4" fontId="42" fillId="2" borderId="10" xfId="0" applyNumberFormat="1" applyFont="1" applyFill="1" applyBorder="1" applyAlignment="1">
      <alignment horizontal="right" shrinkToFit="1"/>
    </xf>
    <xf numFmtId="3" fontId="42" fillId="2" borderId="27" xfId="0" applyNumberFormat="1" applyFont="1" applyFill="1" applyBorder="1" applyAlignment="1">
      <alignment horizontal="right" shrinkToFit="1"/>
    </xf>
    <xf numFmtId="4" fontId="17" fillId="2" borderId="0" xfId="0" applyNumberFormat="1" applyFont="1" applyFill="1"/>
    <xf numFmtId="0" fontId="65" fillId="2" borderId="34" xfId="0" applyFont="1" applyFill="1" applyBorder="1" applyAlignment="1">
      <alignment horizontal="left" vertical="top" wrapText="1"/>
    </xf>
    <xf numFmtId="49" fontId="65" fillId="2" borderId="6" xfId="0" applyNumberFormat="1" applyFont="1" applyFill="1" applyBorder="1" applyAlignment="1">
      <alignment horizontal="left" vertical="top" wrapText="1"/>
    </xf>
    <xf numFmtId="0" fontId="42" fillId="2" borderId="6" xfId="0" applyFont="1" applyFill="1" applyBorder="1" applyAlignment="1">
      <alignment horizontal="left" vertical="top" wrapText="1"/>
    </xf>
    <xf numFmtId="0" fontId="65" fillId="2" borderId="6" xfId="0" applyFont="1" applyFill="1" applyBorder="1" applyAlignment="1">
      <alignment horizontal="right" wrapText="1"/>
    </xf>
    <xf numFmtId="0" fontId="42" fillId="2" borderId="6" xfId="0" applyFont="1" applyFill="1" applyBorder="1" applyAlignment="1">
      <alignment horizontal="right" shrinkToFit="1"/>
    </xf>
    <xf numFmtId="4" fontId="42" fillId="2" borderId="6" xfId="0" applyNumberFormat="1" applyFont="1" applyFill="1" applyBorder="1" applyAlignment="1">
      <alignment horizontal="right" shrinkToFit="1"/>
    </xf>
    <xf numFmtId="3" fontId="42" fillId="2" borderId="35" xfId="0" applyNumberFormat="1" applyFont="1" applyFill="1" applyBorder="1" applyAlignment="1">
      <alignment horizontal="right" shrinkToFit="1"/>
    </xf>
    <xf numFmtId="0" fontId="23" fillId="2" borderId="0" xfId="1" applyFont="1" applyFill="1" applyAlignment="1">
      <alignment wrapText="1"/>
    </xf>
    <xf numFmtId="0" fontId="55" fillId="2" borderId="0" xfId="2" applyFont="1" applyFill="1" applyAlignment="1" applyProtection="1">
      <alignment horizontal="center"/>
    </xf>
    <xf numFmtId="4" fontId="22" fillId="2" borderId="6" xfId="0" applyNumberFormat="1" applyFont="1" applyFill="1" applyBorder="1" applyAlignment="1">
      <alignment horizontal="right" shrinkToFit="1"/>
    </xf>
    <xf numFmtId="49" fontId="27" fillId="2" borderId="6" xfId="0" applyNumberFormat="1" applyFont="1" applyFill="1" applyBorder="1" applyAlignment="1">
      <alignment horizontal="left" vertical="top" wrapText="1" shrinkToFit="1"/>
    </xf>
    <xf numFmtId="0" fontId="54" fillId="2" borderId="0" xfId="2" applyFont="1" applyFill="1" applyAlignment="1" applyProtection="1">
      <alignment vertical="center"/>
    </xf>
    <xf numFmtId="0" fontId="12" fillId="2" borderId="3" xfId="0" applyFont="1" applyFill="1" applyBorder="1" applyAlignment="1">
      <alignment horizontal="left" vertical="top" wrapText="1"/>
    </xf>
    <xf numFmtId="49" fontId="12" fillId="2" borderId="3" xfId="0" applyNumberFormat="1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right" wrapText="1"/>
    </xf>
    <xf numFmtId="0" fontId="22" fillId="2" borderId="3" xfId="0" applyFont="1" applyFill="1" applyBorder="1" applyAlignment="1">
      <alignment horizontal="right" shrinkToFit="1"/>
    </xf>
    <xf numFmtId="4" fontId="22" fillId="2" borderId="3" xfId="0" applyNumberFormat="1" applyFont="1" applyFill="1" applyBorder="1" applyAlignment="1">
      <alignment horizontal="right" shrinkToFit="1"/>
    </xf>
    <xf numFmtId="4" fontId="18" fillId="2" borderId="8" xfId="0" applyNumberFormat="1" applyFont="1" applyFill="1" applyBorder="1"/>
    <xf numFmtId="0" fontId="12" fillId="2" borderId="24" xfId="0" applyFont="1" applyFill="1" applyBorder="1" applyAlignment="1">
      <alignment horizontal="left" vertical="top" wrapText="1"/>
    </xf>
    <xf numFmtId="49" fontId="12" fillId="2" borderId="23" xfId="0" applyNumberFormat="1" applyFont="1" applyFill="1" applyBorder="1" applyAlignment="1">
      <alignment horizontal="left" vertical="top" wrapText="1"/>
    </xf>
    <xf numFmtId="0" fontId="22" fillId="2" borderId="23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right" wrapText="1"/>
    </xf>
    <xf numFmtId="0" fontId="22" fillId="2" borderId="23" xfId="0" applyFont="1" applyFill="1" applyBorder="1" applyAlignment="1">
      <alignment horizontal="right" shrinkToFit="1"/>
    </xf>
    <xf numFmtId="4" fontId="24" fillId="2" borderId="23" xfId="0" applyNumberFormat="1" applyFont="1" applyFill="1" applyBorder="1" applyAlignment="1">
      <alignment horizontal="right" shrinkToFit="1"/>
    </xf>
    <xf numFmtId="3" fontId="24" fillId="2" borderId="25" xfId="0" applyNumberFormat="1" applyFont="1" applyFill="1" applyBorder="1" applyAlignment="1">
      <alignment horizontal="right" shrinkToFit="1"/>
    </xf>
    <xf numFmtId="0" fontId="12" fillId="2" borderId="6" xfId="2" applyFont="1" applyFill="1" applyBorder="1" applyAlignment="1">
      <alignment horizontal="left" vertical="top" wrapText="1"/>
    </xf>
    <xf numFmtId="49" fontId="12" fillId="2" borderId="6" xfId="2" applyNumberFormat="1" applyFont="1" applyFill="1" applyBorder="1" applyAlignment="1">
      <alignment horizontal="left" vertical="top" wrapText="1"/>
    </xf>
    <xf numFmtId="0" fontId="12" fillId="2" borderId="6" xfId="2" applyFont="1" applyFill="1" applyBorder="1" applyAlignment="1">
      <alignment horizontal="right" wrapText="1"/>
    </xf>
    <xf numFmtId="0" fontId="22" fillId="2" borderId="6" xfId="2" applyFont="1" applyFill="1" applyBorder="1" applyAlignment="1">
      <alignment horizontal="right" shrinkToFit="1"/>
    </xf>
    <xf numFmtId="4" fontId="49" fillId="2" borderId="6" xfId="2" applyNumberFormat="1" applyFont="1" applyFill="1" applyBorder="1" applyAlignment="1" applyProtection="1">
      <alignment horizontal="right" vertical="center"/>
      <protection locked="0"/>
    </xf>
    <xf numFmtId="0" fontId="47" fillId="2" borderId="0" xfId="2" applyFont="1" applyFill="1" applyProtection="1"/>
    <xf numFmtId="0" fontId="49" fillId="2" borderId="0" xfId="2" applyFont="1" applyFill="1" applyAlignment="1" applyProtection="1">
      <alignment horizontal="center"/>
    </xf>
    <xf numFmtId="2" fontId="49" fillId="2" borderId="0" xfId="2" applyNumberFormat="1" applyFont="1" applyFill="1" applyProtection="1"/>
    <xf numFmtId="0" fontId="63" fillId="2" borderId="0" xfId="2" applyFont="1" applyFill="1" applyProtection="1"/>
    <xf numFmtId="0" fontId="64" fillId="2" borderId="0" xfId="2" applyFont="1" applyFill="1" applyProtection="1"/>
    <xf numFmtId="2" fontId="63" fillId="2" borderId="0" xfId="2" applyNumberFormat="1" applyFont="1" applyFill="1" applyAlignment="1" applyProtection="1">
      <alignment horizontal="center"/>
      <protection locked="0"/>
    </xf>
    <xf numFmtId="2" fontId="64" fillId="2" borderId="0" xfId="2" applyNumberFormat="1" applyFont="1" applyFill="1" applyProtection="1">
      <protection locked="0"/>
    </xf>
    <xf numFmtId="0" fontId="48" fillId="2" borderId="0" xfId="2" applyFont="1" applyFill="1" applyProtection="1"/>
    <xf numFmtId="0" fontId="51" fillId="2" borderId="0" xfId="2" applyFont="1" applyFill="1" applyProtection="1"/>
    <xf numFmtId="0" fontId="51" fillId="2" borderId="0" xfId="2" applyFont="1" applyFill="1" applyBorder="1" applyAlignment="1" applyProtection="1">
      <alignment horizontal="left"/>
      <protection locked="0"/>
    </xf>
    <xf numFmtId="2" fontId="48" fillId="2" borderId="0" xfId="2" applyNumberFormat="1" applyFont="1" applyFill="1" applyAlignment="1" applyProtection="1">
      <alignment horizontal="center"/>
      <protection locked="0"/>
    </xf>
    <xf numFmtId="2" fontId="51" fillId="2" borderId="0" xfId="2" applyNumberFormat="1" applyFont="1" applyFill="1" applyProtection="1">
      <protection locked="0"/>
    </xf>
    <xf numFmtId="0" fontId="21" fillId="0" borderId="0" xfId="2" applyFont="1" applyFill="1" applyAlignment="1" applyProtection="1">
      <alignment vertical="top"/>
    </xf>
    <xf numFmtId="0" fontId="66" fillId="0" borderId="0" xfId="2" applyFont="1" applyFill="1" applyAlignment="1" applyProtection="1">
      <alignment vertical="top"/>
    </xf>
    <xf numFmtId="0" fontId="24" fillId="2" borderId="6" xfId="0" applyFont="1" applyFill="1" applyBorder="1" applyAlignment="1">
      <alignment horizontal="left" vertical="top" wrapText="1"/>
    </xf>
    <xf numFmtId="0" fontId="18" fillId="2" borderId="6" xfId="2" applyFont="1" applyFill="1" applyBorder="1" applyAlignment="1">
      <alignment horizontal="left" vertical="top" wrapText="1"/>
    </xf>
    <xf numFmtId="3" fontId="18" fillId="2" borderId="6" xfId="0" applyNumberFormat="1" applyFont="1" applyFill="1" applyBorder="1"/>
    <xf numFmtId="0" fontId="65" fillId="0" borderId="26" xfId="0" applyFont="1" applyBorder="1" applyAlignment="1">
      <alignment horizontal="left" vertical="top" wrapText="1"/>
    </xf>
    <xf numFmtId="49" fontId="65" fillId="0" borderId="10" xfId="0" applyNumberFormat="1" applyFont="1" applyBorder="1" applyAlignment="1">
      <alignment horizontal="left" vertical="top" wrapText="1"/>
    </xf>
    <xf numFmtId="0" fontId="42" fillId="0" borderId="10" xfId="0" applyFont="1" applyBorder="1" applyAlignment="1">
      <alignment horizontal="left" vertical="top" wrapText="1"/>
    </xf>
    <xf numFmtId="0" fontId="65" fillId="0" borderId="10" xfId="0" applyFont="1" applyBorder="1" applyAlignment="1">
      <alignment horizontal="right" wrapText="1"/>
    </xf>
    <xf numFmtId="0" fontId="42" fillId="0" borderId="10" xfId="0" applyFont="1" applyBorder="1" applyAlignment="1">
      <alignment horizontal="right" shrinkToFit="1"/>
    </xf>
    <xf numFmtId="0" fontId="65" fillId="2" borderId="0" xfId="0" applyFont="1" applyFill="1" applyBorder="1" applyAlignment="1">
      <alignment horizontal="left" vertical="top" wrapText="1"/>
    </xf>
    <xf numFmtId="49" fontId="65" fillId="2" borderId="0" xfId="0" applyNumberFormat="1" applyFont="1" applyFill="1" applyBorder="1" applyAlignment="1">
      <alignment horizontal="left" vertical="top" wrapText="1"/>
    </xf>
    <xf numFmtId="0" fontId="42" fillId="2" borderId="0" xfId="0" applyFont="1" applyFill="1" applyBorder="1" applyAlignment="1">
      <alignment horizontal="left" vertical="top" wrapText="1"/>
    </xf>
    <xf numFmtId="0" fontId="65" fillId="2" borderId="0" xfId="0" applyFont="1" applyFill="1" applyBorder="1" applyAlignment="1">
      <alignment horizontal="right" wrapText="1"/>
    </xf>
    <xf numFmtId="0" fontId="42" fillId="2" borderId="0" xfId="0" applyFont="1" applyFill="1" applyBorder="1" applyAlignment="1">
      <alignment horizontal="right" shrinkToFit="1"/>
    </xf>
    <xf numFmtId="4" fontId="42" fillId="2" borderId="0" xfId="0" applyNumberFormat="1" applyFont="1" applyFill="1" applyBorder="1" applyAlignment="1">
      <alignment horizontal="right" shrinkToFit="1"/>
    </xf>
    <xf numFmtId="3" fontId="42" fillId="2" borderId="0" xfId="0" applyNumberFormat="1" applyFont="1" applyFill="1" applyBorder="1" applyAlignment="1">
      <alignment horizontal="right" shrinkToFit="1"/>
    </xf>
    <xf numFmtId="3" fontId="42" fillId="2" borderId="6" xfId="0" applyNumberFormat="1" applyFont="1" applyFill="1" applyBorder="1" applyAlignment="1">
      <alignment horizontal="right" shrinkToFit="1"/>
    </xf>
    <xf numFmtId="4" fontId="18" fillId="2" borderId="6" xfId="0" applyNumberFormat="1" applyFont="1" applyFill="1" applyBorder="1"/>
    <xf numFmtId="4" fontId="49" fillId="2" borderId="6" xfId="2" applyNumberFormat="1" applyFont="1" applyFill="1" applyBorder="1" applyAlignment="1" applyProtection="1">
      <alignment vertical="center"/>
    </xf>
    <xf numFmtId="49" fontId="1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/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left" wrapText="1"/>
    </xf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43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43" fillId="0" borderId="6" xfId="0" applyFon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41" fillId="0" borderId="3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5" fillId="0" borderId="0" xfId="0" applyFont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top"/>
    </xf>
    <xf numFmtId="49" fontId="13" fillId="0" borderId="2" xfId="0" applyNumberFormat="1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14" fontId="13" fillId="0" borderId="2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49" fontId="12" fillId="0" borderId="4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14" fillId="0" borderId="9" xfId="0" applyNumberFormat="1" applyFont="1" applyBorder="1" applyAlignment="1">
      <alignment horizontal="right" shrinkToFit="1"/>
    </xf>
    <xf numFmtId="0" fontId="14" fillId="0" borderId="1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49" fontId="22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3" fontId="18" fillId="0" borderId="21" xfId="0" applyNumberFormat="1" applyFont="1" applyBorder="1" applyAlignment="1">
      <alignment vertical="top" shrinkToFit="1"/>
    </xf>
    <xf numFmtId="3" fontId="18" fillId="0" borderId="20" xfId="0" applyNumberFormat="1" applyFont="1" applyBorder="1" applyAlignment="1">
      <alignment vertical="top" shrinkToFit="1"/>
    </xf>
    <xf numFmtId="3" fontId="18" fillId="0" borderId="22" xfId="0" applyNumberFormat="1" applyFont="1" applyBorder="1" applyAlignment="1">
      <alignment vertical="top" shrinkToFit="1"/>
    </xf>
    <xf numFmtId="0" fontId="1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0" fillId="0" borderId="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39" fillId="0" borderId="3" xfId="0" applyFont="1" applyBorder="1" applyAlignment="1">
      <alignment horizontal="center"/>
    </xf>
    <xf numFmtId="0" fontId="48" fillId="0" borderId="0" xfId="1" applyFont="1" applyFill="1" applyAlignment="1" applyProtection="1">
      <alignment horizontal="right"/>
    </xf>
    <xf numFmtId="2" fontId="48" fillId="0" borderId="0" xfId="1" applyNumberFormat="1" applyFont="1" applyFill="1" applyAlignment="1" applyProtection="1">
      <alignment horizontal="right"/>
    </xf>
    <xf numFmtId="0" fontId="49" fillId="0" borderId="0" xfId="2" applyFont="1" applyFill="1" applyAlignment="1" applyProtection="1">
      <alignment horizontal="center"/>
    </xf>
    <xf numFmtId="2" fontId="49" fillId="0" borderId="0" xfId="2" applyNumberFormat="1" applyFont="1" applyFill="1" applyBorder="1" applyAlignment="1" applyProtection="1">
      <alignment horizontal="center"/>
    </xf>
    <xf numFmtId="0" fontId="21" fillId="0" borderId="0" xfId="2" applyFont="1" applyFill="1" applyAlignment="1" applyProtection="1">
      <alignment horizontal="left" vertical="top" wrapText="1"/>
    </xf>
    <xf numFmtId="0" fontId="62" fillId="2" borderId="0" xfId="0" applyFont="1" applyFill="1" applyAlignment="1">
      <alignment horizontal="right" vertical="top" wrapText="1"/>
    </xf>
    <xf numFmtId="0" fontId="62" fillId="2" borderId="0" xfId="0" applyFont="1" applyFill="1" applyAlignment="1">
      <alignment horizontal="left" vertical="top" wrapText="1"/>
    </xf>
    <xf numFmtId="0" fontId="51" fillId="2" borderId="0" xfId="2" applyFont="1" applyFill="1" applyBorder="1" applyAlignment="1" applyProtection="1">
      <alignment horizontal="left" wrapText="1"/>
      <protection locked="0"/>
    </xf>
    <xf numFmtId="0" fontId="59" fillId="2" borderId="3" xfId="1" applyFont="1" applyFill="1" applyBorder="1" applyAlignment="1">
      <alignment horizontal="center" vertical="top" wrapText="1"/>
    </xf>
    <xf numFmtId="0" fontId="59" fillId="2" borderId="8" xfId="1" applyFont="1" applyFill="1" applyBorder="1" applyAlignment="1">
      <alignment horizontal="center" vertical="top" wrapText="1"/>
    </xf>
    <xf numFmtId="0" fontId="51" fillId="2" borderId="0" xfId="2" applyFont="1" applyFill="1" applyBorder="1" applyAlignment="1" applyProtection="1">
      <alignment horizontal="left"/>
      <protection locked="0"/>
    </xf>
    <xf numFmtId="0" fontId="21" fillId="0" borderId="0" xfId="2" applyFont="1" applyFill="1" applyAlignment="1">
      <alignment horizontal="left" vertical="top" wrapText="1"/>
    </xf>
    <xf numFmtId="0" fontId="51" fillId="0" borderId="0" xfId="2" applyFont="1" applyFill="1" applyBorder="1" applyAlignment="1" applyProtection="1">
      <alignment horizontal="left" vertical="center" wrapText="1"/>
      <protection locked="0"/>
    </xf>
    <xf numFmtId="2" fontId="56" fillId="0" borderId="10" xfId="2" applyNumberFormat="1" applyFont="1" applyFill="1" applyBorder="1" applyAlignment="1" applyProtection="1">
      <alignment horizontal="center" vertical="center" wrapText="1"/>
    </xf>
    <xf numFmtId="2" fontId="56" fillId="0" borderId="36" xfId="2" applyNumberFormat="1" applyFont="1" applyFill="1" applyBorder="1" applyAlignment="1" applyProtection="1">
      <alignment horizontal="center" vertical="center" wrapText="1"/>
    </xf>
    <xf numFmtId="0" fontId="61" fillId="2" borderId="5" xfId="1" applyFont="1" applyFill="1" applyBorder="1" applyAlignment="1">
      <alignment horizontal="center" wrapText="1"/>
    </xf>
    <xf numFmtId="0" fontId="61" fillId="2" borderId="3" xfId="1" applyFont="1" applyFill="1" applyBorder="1" applyAlignment="1">
      <alignment horizontal="center" wrapText="1"/>
    </xf>
    <xf numFmtId="0" fontId="56" fillId="0" borderId="6" xfId="2" applyFont="1" applyFill="1" applyBorder="1" applyAlignment="1" applyProtection="1">
      <alignment horizontal="center" vertical="center" wrapText="1"/>
    </xf>
    <xf numFmtId="0" fontId="56" fillId="0" borderId="10" xfId="2" applyFont="1" applyFill="1" applyBorder="1" applyAlignment="1" applyProtection="1">
      <alignment horizontal="center" vertical="center" wrapText="1"/>
    </xf>
    <xf numFmtId="0" fontId="56" fillId="0" borderId="36" xfId="2" applyFont="1" applyFill="1" applyBorder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left" vertical="top" wrapText="1"/>
    </xf>
    <xf numFmtId="0" fontId="51" fillId="0" borderId="0" xfId="2" applyNumberFormat="1" applyFont="1" applyFill="1" applyBorder="1" applyAlignment="1" applyProtection="1">
      <alignment horizontal="left" vertical="top"/>
    </xf>
    <xf numFmtId="0" fontId="51" fillId="0" borderId="0" xfId="2" applyFont="1" applyFill="1" applyBorder="1" applyAlignment="1" applyProtection="1">
      <alignment horizontal="left" vertical="justify"/>
      <protection locked="0"/>
    </xf>
    <xf numFmtId="0" fontId="51" fillId="0" borderId="0" xfId="2" applyFont="1" applyFill="1" applyBorder="1" applyAlignment="1" applyProtection="1">
      <alignment horizontal="left" wrapText="1"/>
      <protection locked="0"/>
    </xf>
    <xf numFmtId="0" fontId="51" fillId="0" borderId="0" xfId="2" applyFont="1" applyFill="1" applyBorder="1" applyAlignment="1" applyProtection="1">
      <alignment horizontal="left"/>
      <protection locked="0"/>
    </xf>
    <xf numFmtId="0" fontId="51" fillId="0" borderId="0" xfId="2" applyNumberFormat="1" applyFont="1" applyFill="1" applyBorder="1" applyAlignment="1" applyProtection="1">
      <alignment horizontal="justify" vertical="top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5"/>
  <sheetViews>
    <sheetView workbookViewId="0">
      <selection activeCell="F40" sqref="F40"/>
    </sheetView>
  </sheetViews>
  <sheetFormatPr defaultRowHeight="12.75" x14ac:dyDescent="0.2"/>
  <cols>
    <col min="1" max="1" width="7.7109375" customWidth="1"/>
    <col min="2" max="2" width="10.7109375" customWidth="1"/>
    <col min="3" max="3" width="36.7109375" customWidth="1"/>
    <col min="4" max="4" width="9.7109375" customWidth="1"/>
    <col min="5" max="5" width="8.7109375" customWidth="1"/>
    <col min="6" max="11" width="9.7109375" customWidth="1"/>
    <col min="15" max="69" width="0" hidden="1" customWidth="1"/>
    <col min="70" max="70" width="108.7109375" hidden="1" customWidth="1"/>
    <col min="71" max="71" width="118.7109375" hidden="1" customWidth="1"/>
    <col min="72" max="72" width="108.7109375" hidden="1" customWidth="1"/>
    <col min="73" max="73" width="125.7109375" hidden="1" customWidth="1"/>
    <col min="74" max="76" width="0" hidden="1" customWidth="1"/>
    <col min="77" max="77" width="37.7109375" hidden="1" customWidth="1"/>
    <col min="78" max="78" width="19.7109375" hidden="1" customWidth="1"/>
    <col min="79" max="256" width="0" hidden="1" customWidth="1"/>
  </cols>
  <sheetData>
    <row r="1" spans="1:255" s="15" customFormat="1" ht="11.25" x14ac:dyDescent="0.2">
      <c r="A1" s="328" t="s">
        <v>211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3" spans="1:255" x14ac:dyDescent="0.2">
      <c r="A3" s="20" t="s">
        <v>218</v>
      </c>
      <c r="B3" s="19"/>
      <c r="C3" s="329"/>
      <c r="D3" s="330"/>
      <c r="E3" s="330"/>
      <c r="F3" s="330"/>
      <c r="G3" s="330"/>
      <c r="H3" s="330"/>
      <c r="I3" s="330"/>
      <c r="J3" s="330"/>
      <c r="K3" s="330"/>
      <c r="BR3" s="22">
        <f>C3</f>
        <v>0</v>
      </c>
      <c r="IU3" s="23"/>
    </row>
    <row r="4" spans="1:255" x14ac:dyDescent="0.2">
      <c r="A4" s="20" t="s">
        <v>220</v>
      </c>
      <c r="B4" s="19"/>
      <c r="C4" s="331"/>
      <c r="D4" s="332"/>
      <c r="E4" s="332"/>
      <c r="F4" s="332"/>
      <c r="G4" s="332"/>
      <c r="H4" s="332"/>
      <c r="I4" s="332"/>
      <c r="J4" s="332"/>
      <c r="K4" s="332"/>
      <c r="BR4" s="22">
        <f>C4</f>
        <v>0</v>
      </c>
      <c r="IU4" s="23"/>
    </row>
    <row r="5" spans="1:255" x14ac:dyDescent="0.2">
      <c r="A5" s="20" t="s">
        <v>221</v>
      </c>
      <c r="B5" s="19"/>
      <c r="C5" s="331"/>
      <c r="D5" s="332"/>
      <c r="E5" s="332"/>
      <c r="F5" s="332"/>
      <c r="G5" s="332"/>
      <c r="H5" s="332"/>
      <c r="I5" s="332"/>
      <c r="J5" s="332"/>
      <c r="K5" s="332"/>
      <c r="BR5" s="22">
        <f>C5</f>
        <v>0</v>
      </c>
      <c r="IU5" s="23"/>
    </row>
    <row r="6" spans="1:255" x14ac:dyDescent="0.2">
      <c r="A6" s="20" t="s">
        <v>222</v>
      </c>
      <c r="B6" s="19"/>
      <c r="C6" s="333"/>
      <c r="D6" s="334"/>
      <c r="E6" s="334"/>
      <c r="F6" s="334"/>
      <c r="G6" s="334"/>
      <c r="H6" s="334"/>
      <c r="I6" s="334"/>
      <c r="J6" s="334"/>
      <c r="K6" s="334"/>
      <c r="BR6" s="22">
        <f>C6</f>
        <v>0</v>
      </c>
      <c r="IU6" s="23"/>
    </row>
    <row r="7" spans="1:255" x14ac:dyDescent="0.2">
      <c r="A7" s="335"/>
      <c r="B7" s="335"/>
      <c r="C7" s="335"/>
      <c r="D7" s="335"/>
      <c r="E7" s="335"/>
      <c r="F7" s="335"/>
      <c r="G7" s="335"/>
      <c r="H7" s="335"/>
      <c r="I7" s="335"/>
      <c r="J7" s="335"/>
      <c r="K7" s="335"/>
    </row>
    <row r="8" spans="1:255" ht="18.75" x14ac:dyDescent="0.3">
      <c r="A8" s="336" t="s">
        <v>385</v>
      </c>
      <c r="B8" s="336"/>
      <c r="C8" s="336"/>
      <c r="D8" s="336"/>
      <c r="E8" s="336"/>
      <c r="F8" s="336"/>
      <c r="G8" s="336"/>
      <c r="H8" s="336"/>
      <c r="I8" s="336"/>
      <c r="J8" s="336"/>
      <c r="K8" s="336"/>
    </row>
    <row r="9" spans="1:255" x14ac:dyDescent="0.2">
      <c r="A9" s="337" t="s">
        <v>386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</row>
    <row r="10" spans="1:255" x14ac:dyDescent="0.2">
      <c r="A10" s="337"/>
      <c r="B10" s="337"/>
      <c r="C10" s="337"/>
      <c r="D10" s="337"/>
      <c r="E10" s="337"/>
      <c r="F10" s="337"/>
      <c r="G10" s="337"/>
      <c r="H10" s="337"/>
      <c r="I10" s="337"/>
      <c r="J10" s="337"/>
      <c r="K10" s="337"/>
    </row>
    <row r="11" spans="1:255" ht="31.5" x14ac:dyDescent="0.25">
      <c r="A11" s="14" t="s">
        <v>349</v>
      </c>
      <c r="B11" s="338" t="s">
        <v>4</v>
      </c>
      <c r="C11" s="338"/>
      <c r="D11" s="338"/>
      <c r="E11" s="338"/>
      <c r="F11" s="338"/>
      <c r="G11" s="338"/>
      <c r="H11" s="338"/>
      <c r="I11" s="338"/>
      <c r="J11" s="338"/>
      <c r="K11" s="338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1.5" x14ac:dyDescent="0.25">
      <c r="A12" s="14" t="s">
        <v>224</v>
      </c>
      <c r="B12" s="339" t="s">
        <v>4</v>
      </c>
      <c r="C12" s="339"/>
      <c r="D12" s="339"/>
      <c r="E12" s="339"/>
      <c r="F12" s="339"/>
      <c r="G12" s="339"/>
      <c r="H12" s="339"/>
      <c r="I12" s="339"/>
      <c r="J12" s="339"/>
      <c r="K12" s="339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26" t="s">
        <v>244</v>
      </c>
      <c r="C13" s="327"/>
      <c r="D13" s="327"/>
      <c r="E13" s="327"/>
      <c r="F13" s="327"/>
      <c r="G13" s="327"/>
      <c r="H13" s="327"/>
      <c r="I13" s="327"/>
      <c r="J13" s="327"/>
      <c r="K13" s="327"/>
      <c r="BT13" s="22">
        <f>C13</f>
        <v>0</v>
      </c>
      <c r="IU13" s="23"/>
    </row>
    <row r="15" spans="1:255" x14ac:dyDescent="0.2">
      <c r="A15" s="168" t="s">
        <v>350</v>
      </c>
      <c r="B15" s="168" t="s">
        <v>352</v>
      </c>
      <c r="C15" s="168" t="s">
        <v>355</v>
      </c>
      <c r="D15" s="168" t="s">
        <v>357</v>
      </c>
      <c r="E15" s="168" t="s">
        <v>388</v>
      </c>
      <c r="F15" s="340" t="s">
        <v>390</v>
      </c>
      <c r="G15" s="341"/>
      <c r="H15" s="341"/>
      <c r="I15" s="168" t="s">
        <v>395</v>
      </c>
      <c r="J15" s="168"/>
      <c r="K15" s="169" t="s">
        <v>398</v>
      </c>
    </row>
    <row r="16" spans="1:255" x14ac:dyDescent="0.2">
      <c r="A16" s="170" t="s">
        <v>351</v>
      </c>
      <c r="B16" s="170" t="s">
        <v>353</v>
      </c>
      <c r="C16" s="170" t="s">
        <v>387</v>
      </c>
      <c r="D16" s="170" t="s">
        <v>358</v>
      </c>
      <c r="E16" s="170" t="s">
        <v>389</v>
      </c>
      <c r="F16" s="168" t="s">
        <v>391</v>
      </c>
      <c r="G16" s="168" t="s">
        <v>393</v>
      </c>
      <c r="H16" s="168" t="s">
        <v>394</v>
      </c>
      <c r="I16" s="170" t="s">
        <v>396</v>
      </c>
      <c r="J16" s="170" t="s">
        <v>397</v>
      </c>
      <c r="K16" s="171" t="s">
        <v>399</v>
      </c>
    </row>
    <row r="17" spans="1:255" x14ac:dyDescent="0.2">
      <c r="A17" s="170"/>
      <c r="B17" s="170" t="s">
        <v>354</v>
      </c>
      <c r="C17" s="170"/>
      <c r="D17" s="170" t="s">
        <v>359</v>
      </c>
      <c r="E17" s="170"/>
      <c r="F17" s="170" t="s">
        <v>392</v>
      </c>
      <c r="G17" s="170"/>
      <c r="H17" s="170"/>
      <c r="I17" s="170"/>
      <c r="J17" s="170"/>
      <c r="K17" s="171" t="s">
        <v>400</v>
      </c>
    </row>
    <row r="18" spans="1:255" x14ac:dyDescent="0.2">
      <c r="A18" s="168">
        <v>1</v>
      </c>
      <c r="B18" s="168">
        <v>2</v>
      </c>
      <c r="C18" s="168">
        <v>3</v>
      </c>
      <c r="D18" s="168">
        <v>4</v>
      </c>
      <c r="E18" s="168">
        <v>5</v>
      </c>
      <c r="F18" s="168">
        <v>6</v>
      </c>
      <c r="G18" s="168">
        <v>7</v>
      </c>
      <c r="H18" s="168">
        <v>8</v>
      </c>
      <c r="I18" s="168">
        <v>9</v>
      </c>
      <c r="J18" s="168">
        <v>10</v>
      </c>
      <c r="K18" s="169">
        <v>11</v>
      </c>
    </row>
    <row r="19" spans="1:255" ht="15" x14ac:dyDescent="0.25">
      <c r="A19" s="342" t="s">
        <v>401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  <c r="BU19" s="193" t="str">
        <f>A19</f>
        <v>Смета: Устройство котлована</v>
      </c>
      <c r="IU19" s="23"/>
    </row>
    <row r="20" spans="1:255" ht="15" x14ac:dyDescent="0.25">
      <c r="A20" s="345" t="s">
        <v>16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BU20" s="193" t="str">
        <f>A20</f>
        <v>Удаление насыпного грунта и срезка растительного грунта смотри ЛСР № 4.1.3.1; №4.1.3.2</v>
      </c>
      <c r="IU20" s="23"/>
    </row>
    <row r="21" spans="1:255" ht="60" x14ac:dyDescent="0.2">
      <c r="A21" s="194" t="s">
        <v>17</v>
      </c>
      <c r="B21" s="195" t="s">
        <v>18</v>
      </c>
      <c r="C21" s="195" t="s">
        <v>19</v>
      </c>
      <c r="D21" s="195" t="s">
        <v>20</v>
      </c>
      <c r="E21" s="196">
        <f>Source!I25</f>
        <v>3.2006999999999999</v>
      </c>
      <c r="F21" s="196"/>
      <c r="G21" s="196"/>
      <c r="H21" s="196"/>
      <c r="I21" s="196"/>
      <c r="J21" s="197"/>
      <c r="K21" s="197"/>
    </row>
    <row r="22" spans="1:255" ht="48" x14ac:dyDescent="0.2">
      <c r="A22" s="194" t="s">
        <v>25</v>
      </c>
      <c r="B22" s="195" t="s">
        <v>26</v>
      </c>
      <c r="C22" s="195" t="s">
        <v>27</v>
      </c>
      <c r="D22" s="195" t="s">
        <v>28</v>
      </c>
      <c r="E22" s="196">
        <f>Source!I27</f>
        <v>5505.2039999999997</v>
      </c>
      <c r="F22" s="196"/>
      <c r="G22" s="196"/>
      <c r="H22" s="196"/>
      <c r="I22" s="196"/>
      <c r="J22" s="197"/>
      <c r="K22" s="197"/>
    </row>
    <row r="23" spans="1:255" ht="24" x14ac:dyDescent="0.2">
      <c r="A23" s="194" t="s">
        <v>33</v>
      </c>
      <c r="B23" s="195" t="s">
        <v>34</v>
      </c>
      <c r="C23" s="195" t="s">
        <v>35</v>
      </c>
      <c r="D23" s="195" t="s">
        <v>20</v>
      </c>
      <c r="E23" s="196">
        <f>Source!I29</f>
        <v>3.2006999999999999</v>
      </c>
      <c r="F23" s="196"/>
      <c r="G23" s="196"/>
      <c r="H23" s="196"/>
      <c r="I23" s="196"/>
      <c r="J23" s="197"/>
      <c r="K23" s="197"/>
    </row>
    <row r="24" spans="1:255" ht="36" x14ac:dyDescent="0.2">
      <c r="A24" s="194" t="s">
        <v>37</v>
      </c>
      <c r="B24" s="195" t="s">
        <v>38</v>
      </c>
      <c r="C24" s="195" t="s">
        <v>39</v>
      </c>
      <c r="D24" s="195" t="s">
        <v>40</v>
      </c>
      <c r="E24" s="196">
        <f>Source!I31</f>
        <v>1.4420999999999999</v>
      </c>
      <c r="F24" s="196"/>
      <c r="G24" s="196"/>
      <c r="H24" s="196"/>
      <c r="I24" s="196"/>
      <c r="J24" s="197"/>
      <c r="K24" s="197"/>
    </row>
    <row r="27" spans="1:255" ht="22.5" x14ac:dyDescent="0.2">
      <c r="A27" s="162" t="s">
        <v>334</v>
      </c>
      <c r="B27" s="162"/>
      <c r="C27" s="174" t="s">
        <v>403</v>
      </c>
      <c r="D27" s="163"/>
      <c r="E27" s="163"/>
      <c r="F27" s="347" t="s">
        <v>7</v>
      </c>
      <c r="G27" s="347"/>
      <c r="BY27" s="164" t="str">
        <f>C27</f>
        <v xml:space="preserve"> Главный инженер сметчик сметно-расчетной службы ООО "ОДСК"</v>
      </c>
      <c r="BZ27" s="164" t="str">
        <f>F27</f>
        <v>Кузнецова У. И.</v>
      </c>
      <c r="IU27" s="23"/>
    </row>
    <row r="28" spans="1:255" s="176" customFormat="1" ht="11.25" x14ac:dyDescent="0.2">
      <c r="A28" s="175"/>
      <c r="B28" s="175"/>
      <c r="C28" s="348" t="s">
        <v>330</v>
      </c>
      <c r="D28" s="348"/>
      <c r="E28" s="348"/>
      <c r="F28" s="348" t="s">
        <v>331</v>
      </c>
      <c r="G28" s="348"/>
    </row>
    <row r="29" spans="1:255" x14ac:dyDescent="0.2">
      <c r="A29" s="18"/>
      <c r="B29" s="18"/>
      <c r="C29" s="18"/>
      <c r="D29" s="11" t="s">
        <v>332</v>
      </c>
      <c r="E29" s="18"/>
      <c r="F29" s="18"/>
      <c r="G29" s="18"/>
    </row>
    <row r="30" spans="1:255" ht="22.5" x14ac:dyDescent="0.2">
      <c r="A30" s="162" t="s">
        <v>335</v>
      </c>
      <c r="B30" s="162"/>
      <c r="C30" s="174" t="s">
        <v>343</v>
      </c>
      <c r="D30" s="163"/>
      <c r="E30" s="163"/>
      <c r="F30" s="347" t="s">
        <v>337</v>
      </c>
      <c r="G30" s="347"/>
      <c r="BY30" s="164" t="str">
        <f>C30</f>
        <v>Руководитель сметно-расчетной службы ООО "ОДСК"</v>
      </c>
      <c r="BZ30" s="164" t="str">
        <f>F30</f>
        <v>Артамонова Ю.А.</v>
      </c>
      <c r="IU30" s="23"/>
    </row>
    <row r="31" spans="1:255" s="176" customFormat="1" ht="11.25" x14ac:dyDescent="0.2">
      <c r="A31" s="175"/>
      <c r="B31" s="175"/>
      <c r="C31" s="348" t="s">
        <v>330</v>
      </c>
      <c r="D31" s="348"/>
      <c r="E31" s="348"/>
      <c r="F31" s="348" t="s">
        <v>331</v>
      </c>
      <c r="G31" s="348"/>
    </row>
    <row r="32" spans="1:255" x14ac:dyDescent="0.2">
      <c r="A32" s="18"/>
      <c r="B32" s="18"/>
      <c r="C32" s="18"/>
      <c r="D32" s="11" t="s">
        <v>332</v>
      </c>
      <c r="E32" s="18"/>
      <c r="F32" s="18"/>
      <c r="G32" s="18"/>
    </row>
    <row r="33" spans="1:255" x14ac:dyDescent="0.2">
      <c r="A33" s="162" t="s">
        <v>221</v>
      </c>
      <c r="B33" s="162"/>
      <c r="C33" s="174" t="s">
        <v>344</v>
      </c>
      <c r="D33" s="163"/>
      <c r="E33" s="163"/>
      <c r="F33" s="347" t="s">
        <v>345</v>
      </c>
      <c r="G33" s="347"/>
      <c r="BY33" s="164" t="str">
        <f>C33</f>
        <v>Руководитель ПТО ООО "ОСУ-2"</v>
      </c>
      <c r="BZ33" s="164" t="str">
        <f>F33</f>
        <v>Когтев В. И.</v>
      </c>
      <c r="IU33" s="23"/>
    </row>
    <row r="34" spans="1:255" s="176" customFormat="1" ht="11.25" x14ac:dyDescent="0.2">
      <c r="A34" s="175"/>
      <c r="B34" s="175"/>
      <c r="C34" s="348" t="s">
        <v>330</v>
      </c>
      <c r="D34" s="348"/>
      <c r="E34" s="348"/>
      <c r="F34" s="348" t="s">
        <v>331</v>
      </c>
      <c r="G34" s="348"/>
    </row>
    <row r="35" spans="1:255" x14ac:dyDescent="0.2">
      <c r="A35" s="18"/>
      <c r="B35" s="18"/>
      <c r="C35" s="18"/>
      <c r="D35" s="11" t="s">
        <v>332</v>
      </c>
      <c r="E35" s="18"/>
      <c r="F35" s="18"/>
      <c r="G35" s="18"/>
    </row>
  </sheetData>
  <mergeCells count="24">
    <mergeCell ref="F30:G30"/>
    <mergeCell ref="C31:E31"/>
    <mergeCell ref="F31:G31"/>
    <mergeCell ref="F33:G33"/>
    <mergeCell ref="C34:E34"/>
    <mergeCell ref="F34:G34"/>
    <mergeCell ref="F15:H15"/>
    <mergeCell ref="A19:K19"/>
    <mergeCell ref="A20:K20"/>
    <mergeCell ref="F27:G27"/>
    <mergeCell ref="C28:E28"/>
    <mergeCell ref="F28:G28"/>
    <mergeCell ref="B13:K13"/>
    <mergeCell ref="A1:K1"/>
    <mergeCell ref="C3:K3"/>
    <mergeCell ref="C4:K4"/>
    <mergeCell ref="C5:K5"/>
    <mergeCell ref="C6:K6"/>
    <mergeCell ref="A7:K7"/>
    <mergeCell ref="A8:K8"/>
    <mergeCell ref="A9:K9"/>
    <mergeCell ref="A10:K10"/>
    <mergeCell ref="B11:K11"/>
    <mergeCell ref="B12:K12"/>
  </mergeCells>
  <pageMargins left="0.7" right="0.7" top="0.75" bottom="0.75" header="0.3" footer="0.3"/>
  <pageSetup paperSize="9" orientation="landscape" r:id="rId1"/>
  <headerFooter>
    <oddFooter>&amp;R&amp;P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4"/>
  <sheetViews>
    <sheetView workbookViewId="0">
      <selection activeCell="A130" sqref="A130:AN130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17628643</v>
      </c>
      <c r="N1">
        <v>11</v>
      </c>
      <c r="O1">
        <v>5</v>
      </c>
      <c r="P1">
        <v>3</v>
      </c>
      <c r="Q1">
        <v>2</v>
      </c>
      <c r="IF1">
        <v>-1</v>
      </c>
    </row>
    <row r="2" spans="1:246" x14ac:dyDescent="0.2">
      <c r="IF2">
        <v>-1</v>
      </c>
    </row>
    <row r="3" spans="1:246" x14ac:dyDescent="0.2">
      <c r="IF3">
        <v>-1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  <c r="IF4">
        <v>-1</v>
      </c>
    </row>
    <row r="5" spans="1:246" x14ac:dyDescent="0.2">
      <c r="IF5">
        <v>-1</v>
      </c>
      <c r="IK5">
        <v>6</v>
      </c>
      <c r="IL5" t="s">
        <v>210</v>
      </c>
    </row>
    <row r="6" spans="1:246" x14ac:dyDescent="0.2">
      <c r="IF6">
        <v>-1</v>
      </c>
      <c r="IK6">
        <v>50</v>
      </c>
      <c r="IL6" t="s">
        <v>197</v>
      </c>
    </row>
    <row r="7" spans="1:246" x14ac:dyDescent="0.2">
      <c r="IF7">
        <v>-1</v>
      </c>
      <c r="IK7">
        <v>1</v>
      </c>
      <c r="IL7" t="s">
        <v>346</v>
      </c>
    </row>
    <row r="8" spans="1:246" x14ac:dyDescent="0.2">
      <c r="IF8">
        <v>-1</v>
      </c>
      <c r="IK8">
        <f>IF((Source!AR34&lt;&gt;'2.Лок.смета.и.Акт в ЕР'!P80),0,1)</f>
        <v>1</v>
      </c>
      <c r="IL8" t="s">
        <v>282</v>
      </c>
    </row>
    <row r="9" spans="1:246" x14ac:dyDescent="0.2">
      <c r="IF9">
        <v>-1</v>
      </c>
      <c r="IK9" s="12" t="s">
        <v>342</v>
      </c>
      <c r="IL9" t="s">
        <v>198</v>
      </c>
    </row>
    <row r="10" spans="1:246" x14ac:dyDescent="0.2">
      <c r="IF10">
        <v>-1</v>
      </c>
      <c r="IK10">
        <v>2</v>
      </c>
      <c r="IL10" t="s">
        <v>195</v>
      </c>
    </row>
    <row r="11" spans="1:246" x14ac:dyDescent="0.2">
      <c r="IF11">
        <v>-1</v>
      </c>
      <c r="IK11" t="s">
        <v>341</v>
      </c>
      <c r="IL11" t="s">
        <v>196</v>
      </c>
    </row>
    <row r="12" spans="1:246" x14ac:dyDescent="0.2">
      <c r="A12" s="1">
        <v>1</v>
      </c>
      <c r="B12" s="1">
        <v>128</v>
      </c>
      <c r="C12" s="1">
        <v>0</v>
      </c>
      <c r="D12" s="1">
        <f>ROW(A64)</f>
        <v>64</v>
      </c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7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10</v>
      </c>
      <c r="CA12" s="1" t="s">
        <v>6</v>
      </c>
      <c r="CB12" s="1" t="s">
        <v>11</v>
      </c>
      <c r="CC12" s="1" t="s">
        <v>11</v>
      </c>
      <c r="CD12" s="1" t="s">
        <v>12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55" x14ac:dyDescent="0.2">
      <c r="IF17">
        <v>-1</v>
      </c>
    </row>
    <row r="18" spans="1:255" x14ac:dyDescent="0.2">
      <c r="A18" s="3">
        <v>52</v>
      </c>
      <c r="B18" s="3">
        <f t="shared" ref="B18:G18" si="0">B64</f>
        <v>128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5.1.1.1 Устройство котлована</v>
      </c>
      <c r="G18" s="3" t="str">
        <f t="shared" si="0"/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H18" s="3"/>
      <c r="I18" s="3"/>
      <c r="J18" s="3"/>
      <c r="K18" s="3"/>
      <c r="L18" s="3"/>
      <c r="M18" s="3"/>
      <c r="N18" s="3"/>
      <c r="O18" s="3">
        <f t="shared" ref="O18:AT18" si="1">O64</f>
        <v>29890</v>
      </c>
      <c r="P18" s="3">
        <f t="shared" si="1"/>
        <v>0</v>
      </c>
      <c r="Q18" s="3">
        <f t="shared" si="1"/>
        <v>27701</v>
      </c>
      <c r="R18" s="3">
        <f t="shared" si="1"/>
        <v>1304</v>
      </c>
      <c r="S18" s="3">
        <f t="shared" si="1"/>
        <v>2189</v>
      </c>
      <c r="T18" s="3">
        <f t="shared" si="1"/>
        <v>0</v>
      </c>
      <c r="U18" s="3">
        <f t="shared" si="1"/>
        <v>278.18263499999995</v>
      </c>
      <c r="V18" s="3">
        <f t="shared" si="1"/>
        <v>95.796950999999993</v>
      </c>
      <c r="W18" s="3">
        <f t="shared" si="1"/>
        <v>0</v>
      </c>
      <c r="X18" s="3">
        <f t="shared" si="1"/>
        <v>3004</v>
      </c>
      <c r="Y18" s="3">
        <f t="shared" si="1"/>
        <v>1643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34537</v>
      </c>
      <c r="AS18" s="3">
        <f t="shared" si="1"/>
        <v>34537</v>
      </c>
      <c r="AT18" s="3">
        <f t="shared" si="1"/>
        <v>0</v>
      </c>
      <c r="AU18" s="3">
        <f t="shared" ref="AU18:BZ18" si="2">AU64</f>
        <v>0</v>
      </c>
      <c r="AV18" s="3">
        <f t="shared" si="2"/>
        <v>0</v>
      </c>
      <c r="AW18" s="3">
        <f t="shared" si="2"/>
        <v>0</v>
      </c>
      <c r="AX18" s="3">
        <f t="shared" si="2"/>
        <v>0</v>
      </c>
      <c r="AY18" s="3">
        <f t="shared" si="2"/>
        <v>0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16406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CA64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DG64</f>
        <v>244662</v>
      </c>
      <c r="DH18" s="4">
        <f t="shared" si="4"/>
        <v>0</v>
      </c>
      <c r="DI18" s="4">
        <f t="shared" si="4"/>
        <v>189207</v>
      </c>
      <c r="DJ18" s="4">
        <f t="shared" si="4"/>
        <v>23899</v>
      </c>
      <c r="DK18" s="4">
        <f t="shared" si="4"/>
        <v>55455</v>
      </c>
      <c r="DL18" s="4">
        <f t="shared" si="4"/>
        <v>0</v>
      </c>
      <c r="DM18" s="4">
        <f t="shared" si="4"/>
        <v>278.18263499999995</v>
      </c>
      <c r="DN18" s="4">
        <f t="shared" si="4"/>
        <v>95.796950999999993</v>
      </c>
      <c r="DO18" s="4">
        <f t="shared" si="4"/>
        <v>0</v>
      </c>
      <c r="DP18" s="4">
        <f t="shared" si="4"/>
        <v>63981</v>
      </c>
      <c r="DQ18" s="4">
        <f t="shared" si="4"/>
        <v>31466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340109</v>
      </c>
      <c r="EK18" s="4">
        <f t="shared" si="4"/>
        <v>340109</v>
      </c>
      <c r="EL18" s="4">
        <f t="shared" si="4"/>
        <v>0</v>
      </c>
      <c r="EM18" s="4">
        <f t="shared" ref="EM18:FR18" si="5">EM64</f>
        <v>0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116807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FS64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  <c r="IF18">
        <v>-1</v>
      </c>
    </row>
    <row r="19" spans="1:255" x14ac:dyDescent="0.2">
      <c r="IF19">
        <v>-1</v>
      </c>
    </row>
    <row r="20" spans="1:255" x14ac:dyDescent="0.2">
      <c r="A20" s="1">
        <v>3</v>
      </c>
      <c r="B20" s="1">
        <v>1</v>
      </c>
      <c r="C20" s="1"/>
      <c r="D20" s="1">
        <f>ROW(A34)</f>
        <v>34</v>
      </c>
      <c r="E20" s="1"/>
      <c r="F20" s="1" t="s">
        <v>14</v>
      </c>
      <c r="G20" s="1" t="s">
        <v>15</v>
      </c>
      <c r="H20" s="1" t="s">
        <v>6</v>
      </c>
      <c r="I20" s="1">
        <v>0</v>
      </c>
      <c r="J20" s="1" t="s">
        <v>6</v>
      </c>
      <c r="K20" s="1">
        <v>-1</v>
      </c>
      <c r="L20" s="1" t="s">
        <v>6</v>
      </c>
      <c r="M20" s="1" t="s">
        <v>6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  <c r="IF20">
        <v>-1</v>
      </c>
    </row>
    <row r="21" spans="1:255" x14ac:dyDescent="0.2">
      <c r="IF21">
        <v>-1</v>
      </c>
    </row>
    <row r="22" spans="1:255" x14ac:dyDescent="0.2">
      <c r="A22" s="3">
        <v>52</v>
      </c>
      <c r="B22" s="3">
        <f t="shared" ref="B22:G22" si="7">B34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5.1.1.1</v>
      </c>
      <c r="G22" s="3" t="str">
        <f t="shared" si="7"/>
        <v>Устройство котлована</v>
      </c>
      <c r="H22" s="3"/>
      <c r="I22" s="3"/>
      <c r="J22" s="3"/>
      <c r="K22" s="3"/>
      <c r="L22" s="3"/>
      <c r="M22" s="3"/>
      <c r="N22" s="3"/>
      <c r="O22" s="3">
        <f t="shared" ref="O22:AT22" si="8">O34</f>
        <v>29890</v>
      </c>
      <c r="P22" s="3">
        <f t="shared" si="8"/>
        <v>0</v>
      </c>
      <c r="Q22" s="3">
        <f t="shared" si="8"/>
        <v>27701</v>
      </c>
      <c r="R22" s="3">
        <f t="shared" si="8"/>
        <v>1304</v>
      </c>
      <c r="S22" s="3">
        <f t="shared" si="8"/>
        <v>2189</v>
      </c>
      <c r="T22" s="3">
        <f t="shared" si="8"/>
        <v>0</v>
      </c>
      <c r="U22" s="3">
        <f t="shared" si="8"/>
        <v>278.18263499999995</v>
      </c>
      <c r="V22" s="3">
        <f t="shared" si="8"/>
        <v>95.796950999999993</v>
      </c>
      <c r="W22" s="3">
        <f t="shared" si="8"/>
        <v>0</v>
      </c>
      <c r="X22" s="3">
        <f t="shared" si="8"/>
        <v>3004</v>
      </c>
      <c r="Y22" s="3">
        <f t="shared" si="8"/>
        <v>1643</v>
      </c>
      <c r="Z22" s="3">
        <f t="shared" si="8"/>
        <v>0</v>
      </c>
      <c r="AA22" s="3">
        <f t="shared" si="8"/>
        <v>0</v>
      </c>
      <c r="AB22" s="3">
        <f t="shared" si="8"/>
        <v>29890</v>
      </c>
      <c r="AC22" s="3">
        <f t="shared" si="8"/>
        <v>0</v>
      </c>
      <c r="AD22" s="3">
        <f t="shared" si="8"/>
        <v>27701</v>
      </c>
      <c r="AE22" s="3">
        <f t="shared" si="8"/>
        <v>1304</v>
      </c>
      <c r="AF22" s="3">
        <f t="shared" si="8"/>
        <v>2189</v>
      </c>
      <c r="AG22" s="3">
        <f t="shared" si="8"/>
        <v>0</v>
      </c>
      <c r="AH22" s="3">
        <f t="shared" si="8"/>
        <v>278.18263499999995</v>
      </c>
      <c r="AI22" s="3">
        <f t="shared" si="8"/>
        <v>95.796950999999993</v>
      </c>
      <c r="AJ22" s="3">
        <f t="shared" si="8"/>
        <v>0</v>
      </c>
      <c r="AK22" s="3">
        <f t="shared" si="8"/>
        <v>3004</v>
      </c>
      <c r="AL22" s="3">
        <f t="shared" si="8"/>
        <v>1643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34537</v>
      </c>
      <c r="AS22" s="3">
        <f t="shared" si="8"/>
        <v>34537</v>
      </c>
      <c r="AT22" s="3">
        <f t="shared" si="8"/>
        <v>0</v>
      </c>
      <c r="AU22" s="3">
        <f t="shared" ref="AU22:BZ22" si="9">AU34</f>
        <v>0</v>
      </c>
      <c r="AV22" s="3">
        <f t="shared" si="9"/>
        <v>0</v>
      </c>
      <c r="AW22" s="3">
        <f t="shared" si="9"/>
        <v>0</v>
      </c>
      <c r="AX22" s="3">
        <f t="shared" si="9"/>
        <v>0</v>
      </c>
      <c r="AY22" s="3">
        <f t="shared" si="9"/>
        <v>0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16406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CA34</f>
        <v>34537</v>
      </c>
      <c r="CB22" s="3">
        <f t="shared" si="10"/>
        <v>34537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16406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DG34</f>
        <v>244662</v>
      </c>
      <c r="DH22" s="4">
        <f t="shared" si="11"/>
        <v>0</v>
      </c>
      <c r="DI22" s="4">
        <f t="shared" si="11"/>
        <v>189207</v>
      </c>
      <c r="DJ22" s="4">
        <f t="shared" si="11"/>
        <v>23899</v>
      </c>
      <c r="DK22" s="4">
        <f t="shared" si="11"/>
        <v>55455</v>
      </c>
      <c r="DL22" s="4">
        <f t="shared" si="11"/>
        <v>0</v>
      </c>
      <c r="DM22" s="4">
        <f t="shared" si="11"/>
        <v>278.18263499999995</v>
      </c>
      <c r="DN22" s="4">
        <f t="shared" si="11"/>
        <v>95.796950999999993</v>
      </c>
      <c r="DO22" s="4">
        <f t="shared" si="11"/>
        <v>0</v>
      </c>
      <c r="DP22" s="4">
        <f t="shared" si="11"/>
        <v>63981</v>
      </c>
      <c r="DQ22" s="4">
        <f t="shared" si="11"/>
        <v>31466</v>
      </c>
      <c r="DR22" s="4">
        <f t="shared" si="11"/>
        <v>0</v>
      </c>
      <c r="DS22" s="4">
        <f t="shared" si="11"/>
        <v>0</v>
      </c>
      <c r="DT22" s="4">
        <f t="shared" si="11"/>
        <v>244662</v>
      </c>
      <c r="DU22" s="4">
        <f t="shared" si="11"/>
        <v>0</v>
      </c>
      <c r="DV22" s="4">
        <f t="shared" si="11"/>
        <v>189207</v>
      </c>
      <c r="DW22" s="4">
        <f t="shared" si="11"/>
        <v>23899</v>
      </c>
      <c r="DX22" s="4">
        <f t="shared" si="11"/>
        <v>55455</v>
      </c>
      <c r="DY22" s="4">
        <f t="shared" si="11"/>
        <v>0</v>
      </c>
      <c r="DZ22" s="4">
        <f t="shared" si="11"/>
        <v>278.18263499999995</v>
      </c>
      <c r="EA22" s="4">
        <f t="shared" si="11"/>
        <v>95.796950999999993</v>
      </c>
      <c r="EB22" s="4">
        <f t="shared" si="11"/>
        <v>0</v>
      </c>
      <c r="EC22" s="4">
        <f t="shared" si="11"/>
        <v>63981</v>
      </c>
      <c r="ED22" s="4">
        <f t="shared" si="11"/>
        <v>31466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340109</v>
      </c>
      <c r="EK22" s="4">
        <f t="shared" si="11"/>
        <v>340109</v>
      </c>
      <c r="EL22" s="4">
        <f t="shared" si="11"/>
        <v>0</v>
      </c>
      <c r="EM22" s="4">
        <f t="shared" ref="EM22:FR22" si="12">EM34</f>
        <v>0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116807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FS34</f>
        <v>340109</v>
      </c>
      <c r="FT22" s="4">
        <f t="shared" si="13"/>
        <v>340109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116807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  <c r="IF22">
        <v>-1</v>
      </c>
    </row>
    <row r="23" spans="1:255" x14ac:dyDescent="0.2">
      <c r="IF23">
        <v>-1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6</v>
      </c>
      <c r="G24" s="2" t="s">
        <v>16</v>
      </c>
      <c r="H24" s="2" t="s">
        <v>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>
        <v>-1</v>
      </c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 s="2">
        <v>17</v>
      </c>
      <c r="B25" s="2">
        <v>1</v>
      </c>
      <c r="C25" s="2">
        <f>ROW(SmtRes!A2)</f>
        <v>2</v>
      </c>
      <c r="D25" s="2">
        <f>ROW(EtalonRes!A2)</f>
        <v>2</v>
      </c>
      <c r="E25" s="2" t="s">
        <v>17</v>
      </c>
      <c r="F25" s="2" t="s">
        <v>18</v>
      </c>
      <c r="G25" s="2" t="s">
        <v>19</v>
      </c>
      <c r="H25" s="2" t="s">
        <v>20</v>
      </c>
      <c r="I25" s="2">
        <f>'2.Лок.смета.и.Акт в ЕР'!E50</f>
        <v>3.2006999999999999</v>
      </c>
      <c r="J25" s="2">
        <v>0</v>
      </c>
      <c r="K25" s="2">
        <f>ROUND(3200.7/1000,9)</f>
        <v>3.2006999999999999</v>
      </c>
      <c r="L25" s="2"/>
      <c r="M25" s="2"/>
      <c r="N25" s="2"/>
      <c r="O25" s="2">
        <f t="shared" ref="O25:O32" si="14">ROUND(CP25,0)</f>
        <v>10137</v>
      </c>
      <c r="P25" s="2">
        <f t="shared" ref="P25:P32" si="15">ROUND(CQ25*I25,0)</f>
        <v>0</v>
      </c>
      <c r="Q25" s="2">
        <f t="shared" ref="Q25:Q32" si="16">ROUND(CR25*I25,0)</f>
        <v>10137</v>
      </c>
      <c r="R25" s="2">
        <f t="shared" ref="R25:R32" si="17">ROUND(CS25*I25,0)</f>
        <v>1131</v>
      </c>
      <c r="S25" s="2">
        <f t="shared" ref="S25:S32" si="18">ROUND(CT25*I25,0)</f>
        <v>0</v>
      </c>
      <c r="T25" s="2">
        <f t="shared" ref="T25:T32" si="19">ROUND(CU25*I25,0)</f>
        <v>0</v>
      </c>
      <c r="U25" s="2">
        <f t="shared" ref="U25:U32" si="20">CV25*I25</f>
        <v>0</v>
      </c>
      <c r="V25" s="2">
        <f t="shared" ref="V25:V32" si="21">CW25*I25</f>
        <v>83.090171999999995</v>
      </c>
      <c r="W25" s="2">
        <f t="shared" ref="W25:W32" si="22">ROUND(CX25*I25,0)</f>
        <v>0</v>
      </c>
      <c r="X25" s="2">
        <f t="shared" ref="X25:Y32" si="23">ROUND(CY25,0)</f>
        <v>1074</v>
      </c>
      <c r="Y25" s="2">
        <f t="shared" si="23"/>
        <v>566</v>
      </c>
      <c r="Z25" s="2"/>
      <c r="AA25" s="2">
        <v>62803415</v>
      </c>
      <c r="AB25" s="2">
        <f t="shared" ref="AB25:AB32" si="24">ROUND((AC25+AD25+AF25),2)</f>
        <v>3167.12</v>
      </c>
      <c r="AC25" s="2">
        <f>ROUND((ES25),2)</f>
        <v>0</v>
      </c>
      <c r="AD25" s="2">
        <f>ROUND((((ET25)-(EU25))+AE25),2)</f>
        <v>3167.12</v>
      </c>
      <c r="AE25" s="2">
        <f>ROUND((EU25),2)</f>
        <v>353.32</v>
      </c>
      <c r="AF25" s="2">
        <f>ROUND((EV25),2)</f>
        <v>0</v>
      </c>
      <c r="AG25" s="2">
        <f t="shared" ref="AG25:AG32" si="25">ROUND((AP25),2)</f>
        <v>0</v>
      </c>
      <c r="AH25" s="2">
        <f t="shared" ref="AH25:AI30" si="26">(EW25)</f>
        <v>0</v>
      </c>
      <c r="AI25" s="2">
        <f t="shared" si="26"/>
        <v>25.96</v>
      </c>
      <c r="AJ25" s="2">
        <f t="shared" ref="AJ25:AJ32" si="27">(AS25)</f>
        <v>0</v>
      </c>
      <c r="AK25" s="2">
        <v>3167.12</v>
      </c>
      <c r="AL25" s="2">
        <v>0</v>
      </c>
      <c r="AM25" s="2">
        <v>3167.12</v>
      </c>
      <c r="AN25" s="2">
        <v>353.32</v>
      </c>
      <c r="AO25" s="2">
        <v>0</v>
      </c>
      <c r="AP25" s="2">
        <v>0</v>
      </c>
      <c r="AQ25" s="2">
        <v>0</v>
      </c>
      <c r="AR25" s="2">
        <v>25.96</v>
      </c>
      <c r="AS25" s="2">
        <v>0</v>
      </c>
      <c r="AT25" s="2">
        <v>95</v>
      </c>
      <c r="AU25" s="2">
        <v>50</v>
      </c>
      <c r="AV25" s="2">
        <v>1</v>
      </c>
      <c r="AW25" s="2">
        <v>1</v>
      </c>
      <c r="AX25" s="2"/>
      <c r="AY25" s="2"/>
      <c r="AZ25" s="2">
        <v>1</v>
      </c>
      <c r="BA25" s="2">
        <v>1</v>
      </c>
      <c r="BB25" s="2">
        <v>1</v>
      </c>
      <c r="BC25" s="2">
        <v>1</v>
      </c>
      <c r="BD25" s="2" t="s">
        <v>6</v>
      </c>
      <c r="BE25" s="2" t="s">
        <v>6</v>
      </c>
      <c r="BF25" s="2" t="s">
        <v>6</v>
      </c>
      <c r="BG25" s="2" t="s">
        <v>6</v>
      </c>
      <c r="BH25" s="2">
        <v>0</v>
      </c>
      <c r="BI25" s="2">
        <v>1</v>
      </c>
      <c r="BJ25" s="2" t="s">
        <v>21</v>
      </c>
      <c r="BK25" s="2"/>
      <c r="BL25" s="2"/>
      <c r="BM25" s="2">
        <v>1001</v>
      </c>
      <c r="BN25" s="2">
        <v>0</v>
      </c>
      <c r="BO25" s="2" t="s">
        <v>6</v>
      </c>
      <c r="BP25" s="2">
        <v>0</v>
      </c>
      <c r="BQ25" s="2">
        <v>1</v>
      </c>
      <c r="BR25" s="2">
        <v>0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 t="s">
        <v>6</v>
      </c>
      <c r="BZ25" s="2">
        <v>95</v>
      </c>
      <c r="CA25" s="2">
        <v>50</v>
      </c>
      <c r="CB25" s="2" t="s">
        <v>6</v>
      </c>
      <c r="CC25" s="2"/>
      <c r="CD25" s="2"/>
      <c r="CE25" s="2">
        <v>0</v>
      </c>
      <c r="CF25" s="2">
        <v>0</v>
      </c>
      <c r="CG25" s="2">
        <v>0</v>
      </c>
      <c r="CH25" s="2"/>
      <c r="CI25" s="2"/>
      <c r="CJ25" s="2"/>
      <c r="CK25" s="2"/>
      <c r="CL25" s="2"/>
      <c r="CM25" s="2">
        <v>0</v>
      </c>
      <c r="CN25" s="2" t="s">
        <v>6</v>
      </c>
      <c r="CO25" s="2">
        <v>0</v>
      </c>
      <c r="CP25" s="2">
        <f t="shared" ref="CP25:CP32" si="28">(P25+Q25+S25)</f>
        <v>10137</v>
      </c>
      <c r="CQ25" s="2">
        <f t="shared" ref="CQ25:CQ32" si="29">AC25*BC25</f>
        <v>0</v>
      </c>
      <c r="CR25" s="2">
        <f t="shared" ref="CR25:CR32" si="30">AD25*BB25</f>
        <v>3167.12</v>
      </c>
      <c r="CS25" s="2">
        <f t="shared" ref="CS25:CS32" si="31">AE25*BS25</f>
        <v>353.32</v>
      </c>
      <c r="CT25" s="2">
        <f t="shared" ref="CT25:CT32" si="32">AF25*BA25</f>
        <v>0</v>
      </c>
      <c r="CU25" s="2">
        <f t="shared" ref="CU25:CX32" si="33">AG25</f>
        <v>0</v>
      </c>
      <c r="CV25" s="2">
        <f t="shared" si="33"/>
        <v>0</v>
      </c>
      <c r="CW25" s="2">
        <f t="shared" si="33"/>
        <v>25.96</v>
      </c>
      <c r="CX25" s="2">
        <f t="shared" si="33"/>
        <v>0</v>
      </c>
      <c r="CY25" s="2">
        <f>(((S25+(R25*IF(0,0,1)))*AT25)/100)</f>
        <v>1074.45</v>
      </c>
      <c r="CZ25" s="2">
        <f>(((S25+(R25*IF(0,0,1)))*AU25)/100)</f>
        <v>565.5</v>
      </c>
      <c r="DA25" s="2"/>
      <c r="DB25" s="2"/>
      <c r="DC25" s="2" t="s">
        <v>6</v>
      </c>
      <c r="DD25" s="2" t="s">
        <v>6</v>
      </c>
      <c r="DE25" s="2" t="s">
        <v>6</v>
      </c>
      <c r="DF25" s="2" t="s">
        <v>6</v>
      </c>
      <c r="DG25" s="2" t="s">
        <v>6</v>
      </c>
      <c r="DH25" s="2" t="s">
        <v>6</v>
      </c>
      <c r="DI25" s="2" t="s">
        <v>6</v>
      </c>
      <c r="DJ25" s="2" t="s">
        <v>6</v>
      </c>
      <c r="DK25" s="2" t="s">
        <v>6</v>
      </c>
      <c r="DL25" s="2" t="s">
        <v>6</v>
      </c>
      <c r="DM25" s="2" t="s">
        <v>6</v>
      </c>
      <c r="DN25" s="2">
        <v>0</v>
      </c>
      <c r="DO25" s="2">
        <v>0</v>
      </c>
      <c r="DP25" s="2">
        <v>1</v>
      </c>
      <c r="DQ25" s="2">
        <v>1</v>
      </c>
      <c r="DR25" s="2"/>
      <c r="DS25" s="2"/>
      <c r="DT25" s="2"/>
      <c r="DU25" s="2">
        <v>1007</v>
      </c>
      <c r="DV25" s="2" t="s">
        <v>20</v>
      </c>
      <c r="DW25" s="2" t="s">
        <v>20</v>
      </c>
      <c r="DX25" s="2">
        <v>1000</v>
      </c>
      <c r="DY25" s="2"/>
      <c r="DZ25" s="2" t="s">
        <v>6</v>
      </c>
      <c r="EA25" s="2" t="s">
        <v>6</v>
      </c>
      <c r="EB25" s="2" t="s">
        <v>6</v>
      </c>
      <c r="EC25" s="2" t="s">
        <v>6</v>
      </c>
      <c r="ED25" s="2"/>
      <c r="EE25" s="2">
        <v>53008004</v>
      </c>
      <c r="EF25" s="2">
        <v>1</v>
      </c>
      <c r="EG25" s="2" t="s">
        <v>22</v>
      </c>
      <c r="EH25" s="2">
        <v>0</v>
      </c>
      <c r="EI25" s="2" t="s">
        <v>6</v>
      </c>
      <c r="EJ25" s="2">
        <v>1</v>
      </c>
      <c r="EK25" s="2">
        <v>1001</v>
      </c>
      <c r="EL25" s="2" t="s">
        <v>23</v>
      </c>
      <c r="EM25" s="2" t="s">
        <v>24</v>
      </c>
      <c r="EN25" s="2"/>
      <c r="EO25" s="2" t="s">
        <v>6</v>
      </c>
      <c r="EP25" s="2"/>
      <c r="EQ25" s="2">
        <v>131072</v>
      </c>
      <c r="ER25" s="2">
        <v>3167.12</v>
      </c>
      <c r="ES25" s="2">
        <v>0</v>
      </c>
      <c r="ET25" s="2">
        <v>3167.12</v>
      </c>
      <c r="EU25" s="2">
        <v>353.32</v>
      </c>
      <c r="EV25" s="2">
        <v>0</v>
      </c>
      <c r="EW25" s="2">
        <v>0</v>
      </c>
      <c r="EX25" s="2">
        <v>25.96</v>
      </c>
      <c r="EY25" s="2">
        <v>0</v>
      </c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>
        <v>0</v>
      </c>
      <c r="FR25" s="2">
        <f t="shared" ref="FR25:FR32" si="34">ROUND(IF(AND(BH25=3,BI25=3),P25,0),0)</f>
        <v>0</v>
      </c>
      <c r="FS25" s="2">
        <v>0</v>
      </c>
      <c r="FT25" s="2"/>
      <c r="FU25" s="2"/>
      <c r="FV25" s="2"/>
      <c r="FW25" s="2"/>
      <c r="FX25" s="2">
        <v>95</v>
      </c>
      <c r="FY25" s="2">
        <v>50</v>
      </c>
      <c r="FZ25" s="2"/>
      <c r="GA25" s="2" t="s">
        <v>6</v>
      </c>
      <c r="GB25" s="2"/>
      <c r="GC25" s="2"/>
      <c r="GD25" s="2">
        <v>1</v>
      </c>
      <c r="GE25" s="2"/>
      <c r="GF25" s="2">
        <v>-603028325</v>
      </c>
      <c r="GG25" s="2">
        <v>2</v>
      </c>
      <c r="GH25" s="2">
        <v>1</v>
      </c>
      <c r="GI25" s="2">
        <v>-2</v>
      </c>
      <c r="GJ25" s="2">
        <v>0</v>
      </c>
      <c r="GK25" s="2">
        <v>0</v>
      </c>
      <c r="GL25" s="2">
        <f t="shared" ref="GL25:GL32" si="35">ROUND(IF(AND(BH25=3,BI25=3,FS25&lt;&gt;0),P25,0),0)</f>
        <v>0</v>
      </c>
      <c r="GM25" s="2">
        <f t="shared" ref="GM25:GM32" si="36">ROUND(O25+X25+Y25,0)+GX25</f>
        <v>11777</v>
      </c>
      <c r="GN25" s="2">
        <f t="shared" ref="GN25:GN32" si="37">IF(OR(BI25=0,BI25=1),ROUND(O25+X25+Y25,0),0)</f>
        <v>11777</v>
      </c>
      <c r="GO25" s="2">
        <f t="shared" ref="GO25:GO32" si="38">IF(BI25=2,ROUND(O25+X25+Y25,0),0)</f>
        <v>0</v>
      </c>
      <c r="GP25" s="2">
        <f t="shared" ref="GP25:GP32" si="39">IF(BI25=4,ROUND(O25+X25+Y25,0)+GX25,0)</f>
        <v>0</v>
      </c>
      <c r="GQ25" s="2"/>
      <c r="GR25" s="2">
        <v>0</v>
      </c>
      <c r="GS25" s="2">
        <v>3</v>
      </c>
      <c r="GT25" s="2">
        <v>0</v>
      </c>
      <c r="GU25" s="2" t="s">
        <v>6</v>
      </c>
      <c r="GV25" s="2">
        <f t="shared" ref="GV25:GV32" si="40">ROUND((GT25),2)</f>
        <v>0</v>
      </c>
      <c r="GW25" s="2">
        <v>1</v>
      </c>
      <c r="GX25" s="2">
        <f t="shared" ref="GX25:GX32" si="41">ROUND(HC25*I25,0)</f>
        <v>0</v>
      </c>
      <c r="GY25" s="2"/>
      <c r="GZ25" s="2"/>
      <c r="HA25" s="2">
        <v>0</v>
      </c>
      <c r="HB25" s="2">
        <v>0</v>
      </c>
      <c r="HC25" s="2">
        <f t="shared" ref="HC25:HC32" si="42">GV25*GW25</f>
        <v>0</v>
      </c>
      <c r="HD25" s="2"/>
      <c r="HE25" s="2" t="s">
        <v>6</v>
      </c>
      <c r="HF25" s="2" t="s">
        <v>6</v>
      </c>
      <c r="HG25" s="2"/>
      <c r="HH25" s="2"/>
      <c r="HI25" s="2"/>
      <c r="HJ25" s="2"/>
      <c r="HK25" s="2"/>
      <c r="HL25" s="2"/>
      <c r="HM25" s="2" t="s">
        <v>6</v>
      </c>
      <c r="HN25" s="2" t="s">
        <v>6</v>
      </c>
      <c r="HO25" s="2" t="s">
        <v>6</v>
      </c>
      <c r="HP25" s="2" t="s">
        <v>6</v>
      </c>
      <c r="HQ25" s="2" t="s">
        <v>6</v>
      </c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>
        <v>-1</v>
      </c>
      <c r="IG25" s="2"/>
      <c r="IH25" s="2"/>
      <c r="II25" s="2"/>
      <c r="IJ25" s="2"/>
      <c r="IK25" s="2">
        <v>0</v>
      </c>
      <c r="IL25" s="2" t="s">
        <v>207</v>
      </c>
      <c r="IM25" s="2">
        <v>3.2006999999999999</v>
      </c>
      <c r="IN25" s="2"/>
      <c r="IO25" s="2"/>
      <c r="IP25" s="2"/>
      <c r="IQ25" s="2"/>
      <c r="IR25" s="2"/>
      <c r="IS25" s="2"/>
      <c r="IT25" s="2"/>
      <c r="IU25" s="2"/>
    </row>
    <row r="26" spans="1:255" x14ac:dyDescent="0.2">
      <c r="A26">
        <v>17</v>
      </c>
      <c r="B26">
        <v>1</v>
      </c>
      <c r="C26">
        <f>ROW(SmtRes!A4)</f>
        <v>4</v>
      </c>
      <c r="D26">
        <f>ROW(EtalonRes!A4)</f>
        <v>4</v>
      </c>
      <c r="E26" t="s">
        <v>17</v>
      </c>
      <c r="F26" t="s">
        <v>18</v>
      </c>
      <c r="G26" t="s">
        <v>19</v>
      </c>
      <c r="H26" t="s">
        <v>20</v>
      </c>
      <c r="I26">
        <f>'2.Лок.смета.и.Акт в ЕР'!E50</f>
        <v>3.2006999999999999</v>
      </c>
      <c r="J26">
        <v>0</v>
      </c>
      <c r="K26">
        <f>ROUND(3200.7/1000,9)</f>
        <v>3.2006999999999999</v>
      </c>
      <c r="O26">
        <f t="shared" si="14"/>
        <v>64978</v>
      </c>
      <c r="P26">
        <f t="shared" si="15"/>
        <v>0</v>
      </c>
      <c r="Q26">
        <f t="shared" si="16"/>
        <v>64978</v>
      </c>
      <c r="R26">
        <f t="shared" si="17"/>
        <v>20729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83.090171999999995</v>
      </c>
      <c r="W26">
        <f t="shared" si="22"/>
        <v>0</v>
      </c>
      <c r="X26">
        <f t="shared" si="23"/>
        <v>18656</v>
      </c>
      <c r="Y26">
        <f t="shared" si="23"/>
        <v>8913</v>
      </c>
      <c r="AA26">
        <v>62803416</v>
      </c>
      <c r="AB26">
        <f t="shared" si="24"/>
        <v>3167.12</v>
      </c>
      <c r="AC26">
        <f>ROUND((ES26),2)</f>
        <v>0</v>
      </c>
      <c r="AD26">
        <f>ROUND((((ET26)-(EU26))+AE26),2)</f>
        <v>3167.12</v>
      </c>
      <c r="AE26">
        <f>ROUND((EU26),2)</f>
        <v>353.32</v>
      </c>
      <c r="AF26">
        <f>ROUND((EV26),2)</f>
        <v>0</v>
      </c>
      <c r="AG26">
        <f t="shared" si="25"/>
        <v>0</v>
      </c>
      <c r="AH26">
        <f t="shared" si="26"/>
        <v>0</v>
      </c>
      <c r="AI26">
        <f t="shared" si="26"/>
        <v>25.96</v>
      </c>
      <c r="AJ26">
        <f t="shared" si="27"/>
        <v>0</v>
      </c>
      <c r="AK26" s="77">
        <f>AL26+AM26+AO26</f>
        <v>3167.12</v>
      </c>
      <c r="AL26">
        <v>0</v>
      </c>
      <c r="AM26" s="77">
        <f>'2.Лок.смета.и.Акт в ЕР'!F52</f>
        <v>3167.12</v>
      </c>
      <c r="AN26" s="77">
        <f>'2.Лок.смета.и.Акт в ЕР'!F53</f>
        <v>353.32</v>
      </c>
      <c r="AO26">
        <v>0</v>
      </c>
      <c r="AP26">
        <v>0</v>
      </c>
      <c r="AQ26">
        <v>0</v>
      </c>
      <c r="AR26">
        <v>25.96</v>
      </c>
      <c r="AS26">
        <v>0</v>
      </c>
      <c r="AT26">
        <v>90</v>
      </c>
      <c r="AU26">
        <v>43</v>
      </c>
      <c r="AV26">
        <v>1</v>
      </c>
      <c r="AW26">
        <v>1</v>
      </c>
      <c r="AZ26">
        <v>1</v>
      </c>
      <c r="BA26">
        <v>25.33</v>
      </c>
      <c r="BB26">
        <f>'2.Лок.смета.и.Акт в ЕР'!J52</f>
        <v>6.41</v>
      </c>
      <c r="BC26">
        <v>7.56</v>
      </c>
      <c r="BD26" t="s">
        <v>6</v>
      </c>
      <c r="BE26" t="s">
        <v>6</v>
      </c>
      <c r="BF26" t="s">
        <v>6</v>
      </c>
      <c r="BG26" t="s">
        <v>6</v>
      </c>
      <c r="BH26">
        <v>0</v>
      </c>
      <c r="BI26">
        <v>1</v>
      </c>
      <c r="BJ26" t="s">
        <v>21</v>
      </c>
      <c r="BM26">
        <v>1001</v>
      </c>
      <c r="BN26">
        <v>0</v>
      </c>
      <c r="BO26" t="s">
        <v>18</v>
      </c>
      <c r="BP26">
        <v>1</v>
      </c>
      <c r="BQ26">
        <v>1</v>
      </c>
      <c r="BR26">
        <v>0</v>
      </c>
      <c r="BS26">
        <f>'2.Лок.смета.и.Акт в ЕР'!J53</f>
        <v>18.329999999999998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6</v>
      </c>
      <c r="BZ26">
        <v>90</v>
      </c>
      <c r="CA26">
        <v>43</v>
      </c>
      <c r="CB26" t="s">
        <v>6</v>
      </c>
      <c r="CE26">
        <v>0</v>
      </c>
      <c r="CF26">
        <v>0</v>
      </c>
      <c r="CG26">
        <v>0</v>
      </c>
      <c r="CM26">
        <v>0</v>
      </c>
      <c r="CN26" t="s">
        <v>6</v>
      </c>
      <c r="CO26">
        <v>0</v>
      </c>
      <c r="CP26">
        <f t="shared" si="28"/>
        <v>64978</v>
      </c>
      <c r="CQ26">
        <f t="shared" si="29"/>
        <v>0</v>
      </c>
      <c r="CR26">
        <f t="shared" si="30"/>
        <v>20301.2392</v>
      </c>
      <c r="CS26">
        <f t="shared" si="31"/>
        <v>6476.355599999999</v>
      </c>
      <c r="CT26">
        <f t="shared" si="32"/>
        <v>0</v>
      </c>
      <c r="CU26">
        <f t="shared" si="33"/>
        <v>0</v>
      </c>
      <c r="CV26">
        <f t="shared" si="33"/>
        <v>0</v>
      </c>
      <c r="CW26">
        <f t="shared" si="33"/>
        <v>25.96</v>
      </c>
      <c r="CX26">
        <f t="shared" si="33"/>
        <v>0</v>
      </c>
      <c r="CY26">
        <f>(S26+R26)*(BZ26/100)</f>
        <v>18656.100000000002</v>
      </c>
      <c r="CZ26">
        <f>(S26+R26)*(CA26/100)</f>
        <v>8913.4699999999993</v>
      </c>
      <c r="DC26" t="s">
        <v>6</v>
      </c>
      <c r="DD26" t="s">
        <v>6</v>
      </c>
      <c r="DE26" t="s">
        <v>6</v>
      </c>
      <c r="DF26" t="s">
        <v>6</v>
      </c>
      <c r="DG26" t="s">
        <v>6</v>
      </c>
      <c r="DH26" t="s">
        <v>6</v>
      </c>
      <c r="DI26" t="s">
        <v>6</v>
      </c>
      <c r="DJ26" t="s">
        <v>6</v>
      </c>
      <c r="DK26" t="s">
        <v>6</v>
      </c>
      <c r="DL26" t="s">
        <v>6</v>
      </c>
      <c r="DM26" t="s">
        <v>6</v>
      </c>
      <c r="DN26">
        <f>'2.Лок.смета.и.Акт в ЕР'!E54</f>
        <v>95</v>
      </c>
      <c r="DO26">
        <f>'2.Лок.смета.и.Акт в ЕР'!E55</f>
        <v>50</v>
      </c>
      <c r="DP26">
        <v>1</v>
      </c>
      <c r="DQ26">
        <v>1</v>
      </c>
      <c r="DU26">
        <v>1007</v>
      </c>
      <c r="DV26" t="s">
        <v>20</v>
      </c>
      <c r="DW26" t="str">
        <f>'2.Лок.смета.и.Акт в ЕР'!D50</f>
        <v>1000 м3 грунта</v>
      </c>
      <c r="DX26">
        <v>1000</v>
      </c>
      <c r="DZ26" t="s">
        <v>6</v>
      </c>
      <c r="EA26" t="s">
        <v>6</v>
      </c>
      <c r="EB26" t="s">
        <v>6</v>
      </c>
      <c r="EC26" t="s">
        <v>6</v>
      </c>
      <c r="EE26">
        <v>53008004</v>
      </c>
      <c r="EF26">
        <v>1</v>
      </c>
      <c r="EG26" t="s">
        <v>22</v>
      </c>
      <c r="EH26">
        <v>0</v>
      </c>
      <c r="EI26" t="s">
        <v>6</v>
      </c>
      <c r="EJ26">
        <v>1</v>
      </c>
      <c r="EK26">
        <v>1001</v>
      </c>
      <c r="EL26" t="s">
        <v>23</v>
      </c>
      <c r="EM26" t="s">
        <v>24</v>
      </c>
      <c r="EO26" t="s">
        <v>6</v>
      </c>
      <c r="EQ26">
        <v>131072</v>
      </c>
      <c r="ER26" s="77">
        <f>ES26+ET26+EV26</f>
        <v>3167.12</v>
      </c>
      <c r="ES26">
        <v>0</v>
      </c>
      <c r="ET26" s="77">
        <f>'2.Лок.смета.и.Акт в ЕР'!F52</f>
        <v>3167.12</v>
      </c>
      <c r="EU26" s="77">
        <f>'2.Лок.смета.и.Акт в ЕР'!F53</f>
        <v>353.32</v>
      </c>
      <c r="EV26">
        <v>0</v>
      </c>
      <c r="EW26">
        <v>0</v>
      </c>
      <c r="EX26">
        <v>25.96</v>
      </c>
      <c r="EY26">
        <v>0</v>
      </c>
      <c r="FQ26">
        <v>0</v>
      </c>
      <c r="FR26">
        <f t="shared" si="34"/>
        <v>0</v>
      </c>
      <c r="FS26">
        <v>0</v>
      </c>
      <c r="FX26">
        <v>95</v>
      </c>
      <c r="FY26">
        <v>50</v>
      </c>
      <c r="GA26" t="s">
        <v>6</v>
      </c>
      <c r="GD26">
        <v>1</v>
      </c>
      <c r="GF26">
        <v>-603028325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35"/>
        <v>0</v>
      </c>
      <c r="GM26">
        <f t="shared" si="36"/>
        <v>92547</v>
      </c>
      <c r="GN26">
        <f t="shared" si="37"/>
        <v>92547</v>
      </c>
      <c r="GO26">
        <f t="shared" si="38"/>
        <v>0</v>
      </c>
      <c r="GP26">
        <f t="shared" si="39"/>
        <v>0</v>
      </c>
      <c r="GR26">
        <v>0</v>
      </c>
      <c r="GS26">
        <v>3</v>
      </c>
      <c r="GT26">
        <v>0</v>
      </c>
      <c r="GU26" t="s">
        <v>6</v>
      </c>
      <c r="GV26">
        <f t="shared" si="40"/>
        <v>0</v>
      </c>
      <c r="GW26">
        <v>1010.1</v>
      </c>
      <c r="GX26">
        <f t="shared" si="41"/>
        <v>0</v>
      </c>
      <c r="HA26">
        <v>0</v>
      </c>
      <c r="HB26">
        <v>0</v>
      </c>
      <c r="HC26">
        <f t="shared" si="42"/>
        <v>0</v>
      </c>
      <c r="HE26" t="s">
        <v>6</v>
      </c>
      <c r="HF26" t="s">
        <v>6</v>
      </c>
      <c r="HM26" t="s">
        <v>6</v>
      </c>
      <c r="HN26" t="s">
        <v>6</v>
      </c>
      <c r="HO26" t="s">
        <v>6</v>
      </c>
      <c r="HP26" t="s">
        <v>6</v>
      </c>
      <c r="HQ26" t="s">
        <v>6</v>
      </c>
      <c r="IF26">
        <v>-1</v>
      </c>
      <c r="IK26">
        <v>0</v>
      </c>
      <c r="IL26" t="s">
        <v>207</v>
      </c>
      <c r="IM26">
        <v>3.2006999999999999</v>
      </c>
    </row>
    <row r="27" spans="1:255" x14ac:dyDescent="0.2">
      <c r="A27" s="2">
        <v>17</v>
      </c>
      <c r="B27" s="2">
        <v>1</v>
      </c>
      <c r="C27" s="2">
        <f>ROW(SmtRes!A5)</f>
        <v>5</v>
      </c>
      <c r="D27" s="2">
        <f>ROW(EtalonRes!A5)</f>
        <v>5</v>
      </c>
      <c r="E27" s="2" t="s">
        <v>25</v>
      </c>
      <c r="F27" s="2" t="s">
        <v>26</v>
      </c>
      <c r="G27" s="2" t="s">
        <v>27</v>
      </c>
      <c r="H27" s="2" t="s">
        <v>28</v>
      </c>
      <c r="I27" s="2">
        <f>'2.Лок.смета.и.Акт в ЕР'!E58</f>
        <v>5505.2039999999997</v>
      </c>
      <c r="J27" s="2">
        <v>0</v>
      </c>
      <c r="K27" s="2">
        <f>ROUND(2240.49*1.75+960.21*1.65,9)</f>
        <v>5505.2039999999997</v>
      </c>
      <c r="L27" s="2"/>
      <c r="M27" s="2"/>
      <c r="N27" s="2"/>
      <c r="O27" s="2">
        <f t="shared" si="14"/>
        <v>16406</v>
      </c>
      <c r="P27" s="2">
        <f t="shared" si="15"/>
        <v>0</v>
      </c>
      <c r="Q27" s="2">
        <f t="shared" si="16"/>
        <v>16406</v>
      </c>
      <c r="R27" s="2">
        <f t="shared" si="17"/>
        <v>0</v>
      </c>
      <c r="S27" s="2">
        <f t="shared" si="18"/>
        <v>0</v>
      </c>
      <c r="T27" s="2">
        <f t="shared" si="19"/>
        <v>0</v>
      </c>
      <c r="U27" s="2">
        <f t="shared" si="20"/>
        <v>0</v>
      </c>
      <c r="V27" s="2">
        <f t="shared" si="21"/>
        <v>0</v>
      </c>
      <c r="W27" s="2">
        <f t="shared" si="22"/>
        <v>0</v>
      </c>
      <c r="X27" s="2">
        <f t="shared" si="23"/>
        <v>0</v>
      </c>
      <c r="Y27" s="2">
        <f t="shared" si="23"/>
        <v>0</v>
      </c>
      <c r="Z27" s="2"/>
      <c r="AA27" s="2">
        <v>62803415</v>
      </c>
      <c r="AB27" s="2">
        <f t="shared" si="24"/>
        <v>2.98</v>
      </c>
      <c r="AC27" s="2">
        <f>ROUND((ES27),2)</f>
        <v>0</v>
      </c>
      <c r="AD27" s="2">
        <f>ROUND(((ET27)+ROUND(((EU27)*1.85),2)),2)</f>
        <v>2.98</v>
      </c>
      <c r="AE27" s="2">
        <f>ROUND(((EU27)+ROUND(((EU27)*1.85),2)),2)</f>
        <v>0</v>
      </c>
      <c r="AF27" s="2">
        <f>ROUND(((EV27)+ROUND(((EV27)*1.85),2)),2)</f>
        <v>0</v>
      </c>
      <c r="AG27" s="2">
        <f t="shared" si="25"/>
        <v>0</v>
      </c>
      <c r="AH27" s="2">
        <f t="shared" si="26"/>
        <v>0</v>
      </c>
      <c r="AI27" s="2">
        <f t="shared" si="26"/>
        <v>0</v>
      </c>
      <c r="AJ27" s="2">
        <f t="shared" si="27"/>
        <v>0</v>
      </c>
      <c r="AK27" s="2">
        <v>2.98</v>
      </c>
      <c r="AL27" s="2">
        <v>0</v>
      </c>
      <c r="AM27" s="2">
        <v>2.98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1</v>
      </c>
      <c r="AW27" s="2">
        <v>1</v>
      </c>
      <c r="AX27" s="2"/>
      <c r="AY27" s="2"/>
      <c r="AZ27" s="2">
        <v>1</v>
      </c>
      <c r="BA27" s="2">
        <v>1</v>
      </c>
      <c r="BB27" s="2">
        <v>1</v>
      </c>
      <c r="BC27" s="2">
        <v>1</v>
      </c>
      <c r="BD27" s="2" t="s">
        <v>6</v>
      </c>
      <c r="BE27" s="2" t="s">
        <v>6</v>
      </c>
      <c r="BF27" s="2" t="s">
        <v>6</v>
      </c>
      <c r="BG27" s="2" t="s">
        <v>6</v>
      </c>
      <c r="BH27" s="2">
        <v>0</v>
      </c>
      <c r="BI27" s="2">
        <v>1</v>
      </c>
      <c r="BJ27" s="2" t="s">
        <v>29</v>
      </c>
      <c r="BK27" s="2"/>
      <c r="BL27" s="2"/>
      <c r="BM27" s="2">
        <v>700001</v>
      </c>
      <c r="BN27" s="2">
        <v>0</v>
      </c>
      <c r="BO27" s="2" t="s">
        <v>6</v>
      </c>
      <c r="BP27" s="2">
        <v>0</v>
      </c>
      <c r="BQ27" s="2">
        <v>43</v>
      </c>
      <c r="BR27" s="2">
        <v>0</v>
      </c>
      <c r="BS27" s="2">
        <v>1</v>
      </c>
      <c r="BT27" s="2">
        <v>1</v>
      </c>
      <c r="BU27" s="2">
        <v>1</v>
      </c>
      <c r="BV27" s="2">
        <v>1</v>
      </c>
      <c r="BW27" s="2">
        <v>1</v>
      </c>
      <c r="BX27" s="2">
        <v>1</v>
      </c>
      <c r="BY27" s="2" t="s">
        <v>6</v>
      </c>
      <c r="BZ27" s="2">
        <v>0</v>
      </c>
      <c r="CA27" s="2">
        <v>0</v>
      </c>
      <c r="CB27" s="2" t="s">
        <v>6</v>
      </c>
      <c r="CC27" s="2"/>
      <c r="CD27" s="2"/>
      <c r="CE27" s="2">
        <v>0</v>
      </c>
      <c r="CF27" s="2">
        <v>0</v>
      </c>
      <c r="CG27" s="2">
        <v>0</v>
      </c>
      <c r="CH27" s="2"/>
      <c r="CI27" s="2"/>
      <c r="CJ27" s="2"/>
      <c r="CK27" s="2"/>
      <c r="CL27" s="2"/>
      <c r="CM27" s="2">
        <v>0</v>
      </c>
      <c r="CN27" s="2" t="s">
        <v>6</v>
      </c>
      <c r="CO27" s="2">
        <v>0</v>
      </c>
      <c r="CP27" s="2">
        <f t="shared" si="28"/>
        <v>16406</v>
      </c>
      <c r="CQ27" s="2">
        <f t="shared" si="29"/>
        <v>0</v>
      </c>
      <c r="CR27" s="2">
        <f t="shared" si="30"/>
        <v>2.98</v>
      </c>
      <c r="CS27" s="2">
        <f t="shared" si="31"/>
        <v>0</v>
      </c>
      <c r="CT27" s="2">
        <f t="shared" si="32"/>
        <v>0</v>
      </c>
      <c r="CU27" s="2">
        <f t="shared" si="33"/>
        <v>0</v>
      </c>
      <c r="CV27" s="2">
        <f t="shared" si="33"/>
        <v>0</v>
      </c>
      <c r="CW27" s="2">
        <f t="shared" si="33"/>
        <v>0</v>
      </c>
      <c r="CX27" s="2">
        <f t="shared" si="33"/>
        <v>0</v>
      </c>
      <c r="CY27" s="2">
        <f>(((S27+(R27*IF(0,0,1)))*AT27)/100)</f>
        <v>0</v>
      </c>
      <c r="CZ27" s="2">
        <f>(((S27+(R27*IF(0,0,1)))*AU27)/100)</f>
        <v>0</v>
      </c>
      <c r="DA27" s="2"/>
      <c r="DB27" s="2"/>
      <c r="DC27" s="2" t="s">
        <v>6</v>
      </c>
      <c r="DD27" s="2" t="s">
        <v>6</v>
      </c>
      <c r="DE27" s="2" t="s">
        <v>6</v>
      </c>
      <c r="DF27" s="2" t="s">
        <v>6</v>
      </c>
      <c r="DG27" s="2" t="s">
        <v>6</v>
      </c>
      <c r="DH27" s="2" t="s">
        <v>6</v>
      </c>
      <c r="DI27" s="2" t="s">
        <v>6</v>
      </c>
      <c r="DJ27" s="2" t="s">
        <v>6</v>
      </c>
      <c r="DK27" s="2" t="s">
        <v>6</v>
      </c>
      <c r="DL27" s="2" t="s">
        <v>6</v>
      </c>
      <c r="DM27" s="2" t="s">
        <v>6</v>
      </c>
      <c r="DN27" s="2">
        <v>0</v>
      </c>
      <c r="DO27" s="2">
        <v>0</v>
      </c>
      <c r="DP27" s="2">
        <v>1</v>
      </c>
      <c r="DQ27" s="2">
        <v>1</v>
      </c>
      <c r="DR27" s="2"/>
      <c r="DS27" s="2"/>
      <c r="DT27" s="2"/>
      <c r="DU27" s="2">
        <v>1013</v>
      </c>
      <c r="DV27" s="2" t="s">
        <v>28</v>
      </c>
      <c r="DW27" s="2" t="s">
        <v>28</v>
      </c>
      <c r="DX27" s="2">
        <v>1</v>
      </c>
      <c r="DY27" s="2"/>
      <c r="DZ27" s="2" t="s">
        <v>6</v>
      </c>
      <c r="EA27" s="2" t="s">
        <v>6</v>
      </c>
      <c r="EB27" s="2" t="s">
        <v>6</v>
      </c>
      <c r="EC27" s="2" t="s">
        <v>6</v>
      </c>
      <c r="ED27" s="2"/>
      <c r="EE27" s="2">
        <v>53008220</v>
      </c>
      <c r="EF27" s="2">
        <v>43</v>
      </c>
      <c r="EG27" s="2" t="s">
        <v>30</v>
      </c>
      <c r="EH27" s="2">
        <v>0</v>
      </c>
      <c r="EI27" s="2" t="s">
        <v>6</v>
      </c>
      <c r="EJ27" s="2">
        <v>1</v>
      </c>
      <c r="EK27" s="2">
        <v>700001</v>
      </c>
      <c r="EL27" s="2" t="s">
        <v>31</v>
      </c>
      <c r="EM27" s="2" t="s">
        <v>32</v>
      </c>
      <c r="EN27" s="2"/>
      <c r="EO27" s="2" t="s">
        <v>6</v>
      </c>
      <c r="EP27" s="2"/>
      <c r="EQ27" s="2">
        <v>131072</v>
      </c>
      <c r="ER27" s="2">
        <v>2.98</v>
      </c>
      <c r="ES27" s="2">
        <v>0</v>
      </c>
      <c r="ET27" s="2">
        <v>2.98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>
        <v>0</v>
      </c>
      <c r="FR27" s="2">
        <f t="shared" si="34"/>
        <v>0</v>
      </c>
      <c r="FS27" s="2">
        <v>0</v>
      </c>
      <c r="FT27" s="2"/>
      <c r="FU27" s="2"/>
      <c r="FV27" s="2"/>
      <c r="FW27" s="2"/>
      <c r="FX27" s="2">
        <v>0</v>
      </c>
      <c r="FY27" s="2">
        <v>0</v>
      </c>
      <c r="FZ27" s="2"/>
      <c r="GA27" s="2" t="s">
        <v>6</v>
      </c>
      <c r="GB27" s="2"/>
      <c r="GC27" s="2"/>
      <c r="GD27" s="2">
        <v>1</v>
      </c>
      <c r="GE27" s="2"/>
      <c r="GF27" s="2">
        <v>-1610609934</v>
      </c>
      <c r="GG27" s="2">
        <v>2</v>
      </c>
      <c r="GH27" s="2">
        <v>1</v>
      </c>
      <c r="GI27" s="2">
        <v>-2</v>
      </c>
      <c r="GJ27" s="2">
        <v>0</v>
      </c>
      <c r="GK27" s="2">
        <v>0</v>
      </c>
      <c r="GL27" s="2">
        <f t="shared" si="35"/>
        <v>0</v>
      </c>
      <c r="GM27" s="2">
        <f t="shared" si="36"/>
        <v>16406</v>
      </c>
      <c r="GN27" s="2">
        <f t="shared" si="37"/>
        <v>16406</v>
      </c>
      <c r="GO27" s="2">
        <f t="shared" si="38"/>
        <v>0</v>
      </c>
      <c r="GP27" s="2">
        <f t="shared" si="39"/>
        <v>0</v>
      </c>
      <c r="GQ27" s="2"/>
      <c r="GR27" s="2">
        <v>0</v>
      </c>
      <c r="GS27" s="2">
        <v>3</v>
      </c>
      <c r="GT27" s="2">
        <v>0</v>
      </c>
      <c r="GU27" s="2" t="s">
        <v>6</v>
      </c>
      <c r="GV27" s="2">
        <f t="shared" si="40"/>
        <v>0</v>
      </c>
      <c r="GW27" s="2">
        <v>1</v>
      </c>
      <c r="GX27" s="2">
        <f t="shared" si="41"/>
        <v>0</v>
      </c>
      <c r="GY27" s="2"/>
      <c r="GZ27" s="2"/>
      <c r="HA27" s="2">
        <v>0</v>
      </c>
      <c r="HB27" s="2">
        <v>0</v>
      </c>
      <c r="HC27" s="2">
        <f t="shared" si="42"/>
        <v>0</v>
      </c>
      <c r="HD27" s="2">
        <f>GM27</f>
        <v>16406</v>
      </c>
      <c r="HE27" s="2" t="s">
        <v>6</v>
      </c>
      <c r="HF27" s="2" t="s">
        <v>6</v>
      </c>
      <c r="HG27" s="2"/>
      <c r="HH27" s="2"/>
      <c r="HI27" s="2"/>
      <c r="HJ27" s="2"/>
      <c r="HK27" s="2"/>
      <c r="HL27" s="2"/>
      <c r="HM27" s="2" t="s">
        <v>6</v>
      </c>
      <c r="HN27" s="2" t="s">
        <v>6</v>
      </c>
      <c r="HO27" s="2" t="s">
        <v>6</v>
      </c>
      <c r="HP27" s="2" t="s">
        <v>6</v>
      </c>
      <c r="HQ27" s="2" t="s">
        <v>6</v>
      </c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>
        <v>-1</v>
      </c>
      <c r="IG27" s="2"/>
      <c r="IH27" s="2"/>
      <c r="II27" s="2"/>
      <c r="IJ27" s="2"/>
      <c r="IK27" s="2">
        <v>0</v>
      </c>
      <c r="IL27" s="2" t="s">
        <v>208</v>
      </c>
      <c r="IM27" s="2">
        <v>5505.2039999999997</v>
      </c>
      <c r="IN27" s="2"/>
      <c r="IO27" s="2"/>
      <c r="IP27" s="2"/>
      <c r="IQ27" s="2"/>
      <c r="IR27" s="2"/>
      <c r="IS27" s="2"/>
      <c r="IT27" s="2"/>
      <c r="IU27" s="2"/>
    </row>
    <row r="28" spans="1:255" x14ac:dyDescent="0.2">
      <c r="A28">
        <v>17</v>
      </c>
      <c r="B28">
        <v>1</v>
      </c>
      <c r="C28">
        <f>ROW(SmtRes!A6)</f>
        <v>6</v>
      </c>
      <c r="D28">
        <f>ROW(EtalonRes!A6)</f>
        <v>6</v>
      </c>
      <c r="E28" t="s">
        <v>25</v>
      </c>
      <c r="F28" t="s">
        <v>26</v>
      </c>
      <c r="G28" t="s">
        <v>27</v>
      </c>
      <c r="H28" t="s">
        <v>28</v>
      </c>
      <c r="I28">
        <f>'2.Лок.смета.и.Акт в ЕР'!E58</f>
        <v>5505.2039999999997</v>
      </c>
      <c r="J28">
        <v>0</v>
      </c>
      <c r="K28">
        <f>ROUND(2240.49*1.75+960.21*1.65,9)</f>
        <v>5505.2039999999997</v>
      </c>
      <c r="O28">
        <f t="shared" si="14"/>
        <v>116807</v>
      </c>
      <c r="P28">
        <f t="shared" si="15"/>
        <v>0</v>
      </c>
      <c r="Q28">
        <f t="shared" si="16"/>
        <v>116807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3"/>
        <v>0</v>
      </c>
      <c r="AA28">
        <v>62803416</v>
      </c>
      <c r="AB28">
        <f t="shared" si="24"/>
        <v>2.98</v>
      </c>
      <c r="AC28">
        <f>ROUND((ES28),2)</f>
        <v>0</v>
      </c>
      <c r="AD28">
        <f>ROUND(((ET28)+ROUND(((EU28)*1.85),2)),2)</f>
        <v>2.98</v>
      </c>
      <c r="AE28">
        <f>ROUND(((EU28)+ROUND(((EU28)*1.85),2)),2)</f>
        <v>0</v>
      </c>
      <c r="AF28">
        <f>ROUND(((EV28)+ROUND(((EV28)*1.85),2)),2)</f>
        <v>0</v>
      </c>
      <c r="AG28">
        <f t="shared" si="25"/>
        <v>0</v>
      </c>
      <c r="AH28">
        <f t="shared" si="26"/>
        <v>0</v>
      </c>
      <c r="AI28">
        <f t="shared" si="26"/>
        <v>0</v>
      </c>
      <c r="AJ28">
        <f t="shared" si="27"/>
        <v>0</v>
      </c>
      <c r="AK28" s="77">
        <f>AL28+AM28+AO28</f>
        <v>2.98</v>
      </c>
      <c r="AL28">
        <v>0</v>
      </c>
      <c r="AM28" s="77">
        <f>'2.Лок.смета.и.Акт в ЕР'!F60</f>
        <v>2.98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Z28">
        <v>1</v>
      </c>
      <c r="BA28">
        <v>1</v>
      </c>
      <c r="BB28">
        <f>'2.Лок.смета.и.Акт в ЕР'!J60</f>
        <v>7.12</v>
      </c>
      <c r="BC28">
        <v>1</v>
      </c>
      <c r="BD28" t="s">
        <v>6</v>
      </c>
      <c r="BE28" t="s">
        <v>6</v>
      </c>
      <c r="BF28" t="s">
        <v>6</v>
      </c>
      <c r="BG28" t="s">
        <v>6</v>
      </c>
      <c r="BH28">
        <v>0</v>
      </c>
      <c r="BI28">
        <v>1</v>
      </c>
      <c r="BJ28" t="s">
        <v>29</v>
      </c>
      <c r="BM28">
        <v>700001</v>
      </c>
      <c r="BN28">
        <v>0</v>
      </c>
      <c r="BO28" t="s">
        <v>6</v>
      </c>
      <c r="BP28">
        <v>0</v>
      </c>
      <c r="BQ28">
        <v>43</v>
      </c>
      <c r="BR28">
        <v>0</v>
      </c>
      <c r="BS28">
        <v>18.329999999999998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6</v>
      </c>
      <c r="BZ28">
        <v>0</v>
      </c>
      <c r="CA28">
        <v>0</v>
      </c>
      <c r="CB28" t="s">
        <v>6</v>
      </c>
      <c r="CE28">
        <v>0</v>
      </c>
      <c r="CF28">
        <v>0</v>
      </c>
      <c r="CG28">
        <v>0</v>
      </c>
      <c r="CM28">
        <v>0</v>
      </c>
      <c r="CN28" t="s">
        <v>6</v>
      </c>
      <c r="CO28">
        <v>0</v>
      </c>
      <c r="CP28">
        <f t="shared" si="28"/>
        <v>116807</v>
      </c>
      <c r="CQ28">
        <f t="shared" si="29"/>
        <v>0</v>
      </c>
      <c r="CR28">
        <f t="shared" si="30"/>
        <v>21.217600000000001</v>
      </c>
      <c r="CS28">
        <f t="shared" si="31"/>
        <v>0</v>
      </c>
      <c r="CT28">
        <f t="shared" si="32"/>
        <v>0</v>
      </c>
      <c r="CU28">
        <f t="shared" si="33"/>
        <v>0</v>
      </c>
      <c r="CV28">
        <f t="shared" si="33"/>
        <v>0</v>
      </c>
      <c r="CW28">
        <f t="shared" si="33"/>
        <v>0</v>
      </c>
      <c r="CX28">
        <f t="shared" si="33"/>
        <v>0</v>
      </c>
      <c r="CY28">
        <f>(S28+R28)*(BZ28/100)</f>
        <v>0</v>
      </c>
      <c r="CZ28">
        <f>(S28+R28)*(CA28/100)</f>
        <v>0</v>
      </c>
      <c r="DC28" t="s">
        <v>6</v>
      </c>
      <c r="DD28" t="s">
        <v>6</v>
      </c>
      <c r="DE28" t="s">
        <v>6</v>
      </c>
      <c r="DF28" t="s">
        <v>6</v>
      </c>
      <c r="DG28" t="s">
        <v>6</v>
      </c>
      <c r="DH28" t="s">
        <v>6</v>
      </c>
      <c r="DI28" t="s">
        <v>6</v>
      </c>
      <c r="DJ28" t="s">
        <v>6</v>
      </c>
      <c r="DK28" t="s">
        <v>6</v>
      </c>
      <c r="DL28" t="s">
        <v>6</v>
      </c>
      <c r="DM28" t="s">
        <v>6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28</v>
      </c>
      <c r="DW28" t="str">
        <f>'2.Лок.смета.и.Акт в ЕР'!D58</f>
        <v>1 Т ГРУЗА</v>
      </c>
      <c r="DX28">
        <v>1</v>
      </c>
      <c r="DZ28" t="s">
        <v>6</v>
      </c>
      <c r="EA28" t="s">
        <v>6</v>
      </c>
      <c r="EB28" t="s">
        <v>6</v>
      </c>
      <c r="EC28" t="s">
        <v>6</v>
      </c>
      <c r="EE28">
        <v>53008220</v>
      </c>
      <c r="EF28">
        <v>43</v>
      </c>
      <c r="EG28" t="s">
        <v>30</v>
      </c>
      <c r="EH28">
        <v>0</v>
      </c>
      <c r="EI28" t="s">
        <v>6</v>
      </c>
      <c r="EJ28">
        <v>1</v>
      </c>
      <c r="EK28">
        <v>700001</v>
      </c>
      <c r="EL28" t="s">
        <v>31</v>
      </c>
      <c r="EM28" t="s">
        <v>32</v>
      </c>
      <c r="EO28" t="s">
        <v>6</v>
      </c>
      <c r="EQ28">
        <v>131072</v>
      </c>
      <c r="ER28" s="77">
        <f>ES28+ET28+EV28</f>
        <v>2.98</v>
      </c>
      <c r="ES28">
        <v>0</v>
      </c>
      <c r="ET28" s="77">
        <f>'2.Лок.смета.и.Акт в ЕР'!F60</f>
        <v>2.98</v>
      </c>
      <c r="EU28">
        <v>0</v>
      </c>
      <c r="EV28">
        <v>0</v>
      </c>
      <c r="EW28">
        <v>0</v>
      </c>
      <c r="EX28">
        <v>0</v>
      </c>
      <c r="EY28">
        <v>0</v>
      </c>
      <c r="FQ28">
        <v>0</v>
      </c>
      <c r="FR28">
        <f t="shared" si="34"/>
        <v>0</v>
      </c>
      <c r="FS28">
        <v>0</v>
      </c>
      <c r="FX28">
        <v>0</v>
      </c>
      <c r="FY28">
        <v>0</v>
      </c>
      <c r="GA28" t="s">
        <v>6</v>
      </c>
      <c r="GD28">
        <v>1</v>
      </c>
      <c r="GF28">
        <v>-1610609934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35"/>
        <v>0</v>
      </c>
      <c r="GM28">
        <f t="shared" si="36"/>
        <v>116807</v>
      </c>
      <c r="GN28">
        <f t="shared" si="37"/>
        <v>116807</v>
      </c>
      <c r="GO28">
        <f t="shared" si="38"/>
        <v>0</v>
      </c>
      <c r="GP28">
        <f t="shared" si="39"/>
        <v>0</v>
      </c>
      <c r="GR28">
        <v>0</v>
      </c>
      <c r="GS28">
        <v>3</v>
      </c>
      <c r="GT28">
        <v>0</v>
      </c>
      <c r="GU28" t="s">
        <v>6</v>
      </c>
      <c r="GV28">
        <f t="shared" si="40"/>
        <v>0</v>
      </c>
      <c r="GW28">
        <v>1018</v>
      </c>
      <c r="GX28">
        <f t="shared" si="41"/>
        <v>0</v>
      </c>
      <c r="HA28">
        <v>0</v>
      </c>
      <c r="HB28">
        <v>0</v>
      </c>
      <c r="HC28">
        <f t="shared" si="42"/>
        <v>0</v>
      </c>
      <c r="HD28">
        <f>GM28</f>
        <v>116807</v>
      </c>
      <c r="HE28" t="s">
        <v>6</v>
      </c>
      <c r="HF28" t="s">
        <v>6</v>
      </c>
      <c r="HM28" t="s">
        <v>6</v>
      </c>
      <c r="HN28" t="s">
        <v>6</v>
      </c>
      <c r="HO28" t="s">
        <v>6</v>
      </c>
      <c r="HP28" t="s">
        <v>6</v>
      </c>
      <c r="HQ28" t="s">
        <v>6</v>
      </c>
      <c r="IF28">
        <v>-1</v>
      </c>
      <c r="IK28">
        <v>0</v>
      </c>
      <c r="IL28" t="s">
        <v>208</v>
      </c>
      <c r="IM28">
        <v>5505.2039999999997</v>
      </c>
    </row>
    <row r="29" spans="1:255" x14ac:dyDescent="0.2">
      <c r="A29" s="2">
        <v>17</v>
      </c>
      <c r="B29" s="2">
        <v>1</v>
      </c>
      <c r="C29" s="2">
        <f>ROW(SmtRes!A10)</f>
        <v>10</v>
      </c>
      <c r="D29" s="2">
        <f>ROW(EtalonRes!A11)</f>
        <v>11</v>
      </c>
      <c r="E29" s="2" t="s">
        <v>33</v>
      </c>
      <c r="F29" s="2" t="s">
        <v>34</v>
      </c>
      <c r="G29" s="2" t="s">
        <v>35</v>
      </c>
      <c r="H29" s="2" t="s">
        <v>20</v>
      </c>
      <c r="I29" s="2">
        <f>'2.Лок.смета.и.Акт в ЕР'!E63</f>
        <v>3.2006999999999999</v>
      </c>
      <c r="J29" s="2">
        <v>0</v>
      </c>
      <c r="K29" s="2">
        <f>ROUND(I25,9)</f>
        <v>3.2006999999999999</v>
      </c>
      <c r="L29" s="2"/>
      <c r="M29" s="2"/>
      <c r="N29" s="2"/>
      <c r="O29" s="2">
        <f t="shared" si="14"/>
        <v>1250</v>
      </c>
      <c r="P29" s="2">
        <f t="shared" si="15"/>
        <v>0</v>
      </c>
      <c r="Q29" s="2">
        <f t="shared" si="16"/>
        <v>1158</v>
      </c>
      <c r="R29" s="2">
        <f t="shared" si="17"/>
        <v>173</v>
      </c>
      <c r="S29" s="2">
        <f t="shared" si="18"/>
        <v>92</v>
      </c>
      <c r="T29" s="2">
        <f t="shared" si="19"/>
        <v>0</v>
      </c>
      <c r="U29" s="2">
        <f t="shared" si="20"/>
        <v>11.682554999999999</v>
      </c>
      <c r="V29" s="2">
        <f t="shared" si="21"/>
        <v>12.706779000000001</v>
      </c>
      <c r="W29" s="2">
        <f t="shared" si="22"/>
        <v>0</v>
      </c>
      <c r="X29" s="2">
        <f t="shared" si="23"/>
        <v>252</v>
      </c>
      <c r="Y29" s="2">
        <f t="shared" si="23"/>
        <v>133</v>
      </c>
      <c r="Z29" s="2"/>
      <c r="AA29" s="2">
        <v>62803415</v>
      </c>
      <c r="AB29" s="2">
        <f t="shared" si="24"/>
        <v>390.48</v>
      </c>
      <c r="AC29" s="2">
        <f>ROUND((ES29+(SUM(SmtRes!BC7:'SmtRes'!BC10)+SUM(EtalonRes!AL7:'EtalonRes'!AL11))),2)</f>
        <v>0</v>
      </c>
      <c r="AD29" s="2">
        <f>ROUND((((ET29)-(EU29))+AE29),2)</f>
        <v>361.75</v>
      </c>
      <c r="AE29" s="2">
        <f>ROUND((EU29),2)</f>
        <v>54.03</v>
      </c>
      <c r="AF29" s="2">
        <f>ROUND((EV29),2)</f>
        <v>28.73</v>
      </c>
      <c r="AG29" s="2">
        <f t="shared" si="25"/>
        <v>0</v>
      </c>
      <c r="AH29" s="2">
        <f t="shared" si="26"/>
        <v>3.65</v>
      </c>
      <c r="AI29" s="2">
        <f t="shared" si="26"/>
        <v>3.97</v>
      </c>
      <c r="AJ29" s="2">
        <f t="shared" si="27"/>
        <v>0</v>
      </c>
      <c r="AK29" s="2">
        <v>394.84</v>
      </c>
      <c r="AL29" s="2">
        <v>4.3600000000000003</v>
      </c>
      <c r="AM29" s="2">
        <v>361.75</v>
      </c>
      <c r="AN29" s="2">
        <v>54.03</v>
      </c>
      <c r="AO29" s="2">
        <v>28.73</v>
      </c>
      <c r="AP29" s="2">
        <v>0</v>
      </c>
      <c r="AQ29" s="2">
        <v>3.65</v>
      </c>
      <c r="AR29" s="2">
        <v>3.97</v>
      </c>
      <c r="AS29" s="2">
        <v>0</v>
      </c>
      <c r="AT29" s="2">
        <v>95</v>
      </c>
      <c r="AU29" s="2">
        <v>50</v>
      </c>
      <c r="AV29" s="2">
        <v>1</v>
      </c>
      <c r="AW29" s="2">
        <v>1</v>
      </c>
      <c r="AX29" s="2"/>
      <c r="AY29" s="2"/>
      <c r="AZ29" s="2">
        <v>1</v>
      </c>
      <c r="BA29" s="2">
        <v>1</v>
      </c>
      <c r="BB29" s="2">
        <v>1</v>
      </c>
      <c r="BC29" s="2">
        <v>1</v>
      </c>
      <c r="BD29" s="2" t="s">
        <v>6</v>
      </c>
      <c r="BE29" s="2" t="s">
        <v>6</v>
      </c>
      <c r="BF29" s="2" t="s">
        <v>6</v>
      </c>
      <c r="BG29" s="2" t="s">
        <v>6</v>
      </c>
      <c r="BH29" s="2">
        <v>0</v>
      </c>
      <c r="BI29" s="2">
        <v>1</v>
      </c>
      <c r="BJ29" s="2" t="s">
        <v>36</v>
      </c>
      <c r="BK29" s="2"/>
      <c r="BL29" s="2"/>
      <c r="BM29" s="2">
        <v>1001</v>
      </c>
      <c r="BN29" s="2">
        <v>0</v>
      </c>
      <c r="BO29" s="2" t="s">
        <v>6</v>
      </c>
      <c r="BP29" s="2">
        <v>0</v>
      </c>
      <c r="BQ29" s="2">
        <v>1</v>
      </c>
      <c r="BR29" s="2">
        <v>0</v>
      </c>
      <c r="BS29" s="2">
        <v>1</v>
      </c>
      <c r="BT29" s="2">
        <v>1</v>
      </c>
      <c r="BU29" s="2">
        <v>1</v>
      </c>
      <c r="BV29" s="2">
        <v>1</v>
      </c>
      <c r="BW29" s="2">
        <v>1</v>
      </c>
      <c r="BX29" s="2">
        <v>1</v>
      </c>
      <c r="BY29" s="2" t="s">
        <v>6</v>
      </c>
      <c r="BZ29" s="2">
        <v>95</v>
      </c>
      <c r="CA29" s="2">
        <v>50</v>
      </c>
      <c r="CB29" s="2" t="s">
        <v>6</v>
      </c>
      <c r="CC29" s="2"/>
      <c r="CD29" s="2"/>
      <c r="CE29" s="2">
        <v>0</v>
      </c>
      <c r="CF29" s="2">
        <v>0</v>
      </c>
      <c r="CG29" s="2">
        <v>0</v>
      </c>
      <c r="CH29" s="2"/>
      <c r="CI29" s="2"/>
      <c r="CJ29" s="2"/>
      <c r="CK29" s="2"/>
      <c r="CL29" s="2"/>
      <c r="CM29" s="2">
        <v>0</v>
      </c>
      <c r="CN29" s="2" t="s">
        <v>6</v>
      </c>
      <c r="CO29" s="2">
        <v>0</v>
      </c>
      <c r="CP29" s="2">
        <f t="shared" si="28"/>
        <v>1250</v>
      </c>
      <c r="CQ29" s="2">
        <f t="shared" si="29"/>
        <v>0</v>
      </c>
      <c r="CR29" s="2">
        <f t="shared" si="30"/>
        <v>361.75</v>
      </c>
      <c r="CS29" s="2">
        <f t="shared" si="31"/>
        <v>54.03</v>
      </c>
      <c r="CT29" s="2">
        <f t="shared" si="32"/>
        <v>28.73</v>
      </c>
      <c r="CU29" s="2">
        <f t="shared" si="33"/>
        <v>0</v>
      </c>
      <c r="CV29" s="2">
        <f t="shared" si="33"/>
        <v>3.65</v>
      </c>
      <c r="CW29" s="2">
        <f t="shared" si="33"/>
        <v>3.97</v>
      </c>
      <c r="CX29" s="2">
        <f t="shared" si="33"/>
        <v>0</v>
      </c>
      <c r="CY29" s="2">
        <f>(((S29+(R29*IF(0,0,1)))*AT29)/100)</f>
        <v>251.75</v>
      </c>
      <c r="CZ29" s="2">
        <f>(((S29+(R29*IF(0,0,1)))*AU29)/100)</f>
        <v>132.5</v>
      </c>
      <c r="DA29" s="2"/>
      <c r="DB29" s="2"/>
      <c r="DC29" s="2" t="s">
        <v>6</v>
      </c>
      <c r="DD29" s="2" t="s">
        <v>6</v>
      </c>
      <c r="DE29" s="2" t="s">
        <v>6</v>
      </c>
      <c r="DF29" s="2" t="s">
        <v>6</v>
      </c>
      <c r="DG29" s="2" t="s">
        <v>6</v>
      </c>
      <c r="DH29" s="2" t="s">
        <v>6</v>
      </c>
      <c r="DI29" s="2" t="s">
        <v>6</v>
      </c>
      <c r="DJ29" s="2" t="s">
        <v>6</v>
      </c>
      <c r="DK29" s="2" t="s">
        <v>6</v>
      </c>
      <c r="DL29" s="2" t="s">
        <v>6</v>
      </c>
      <c r="DM29" s="2" t="s">
        <v>6</v>
      </c>
      <c r="DN29" s="2">
        <v>0</v>
      </c>
      <c r="DO29" s="2">
        <v>0</v>
      </c>
      <c r="DP29" s="2">
        <v>1</v>
      </c>
      <c r="DQ29" s="2">
        <v>1</v>
      </c>
      <c r="DR29" s="2"/>
      <c r="DS29" s="2"/>
      <c r="DT29" s="2"/>
      <c r="DU29" s="2">
        <v>1007</v>
      </c>
      <c r="DV29" s="2" t="s">
        <v>20</v>
      </c>
      <c r="DW29" s="2" t="s">
        <v>20</v>
      </c>
      <c r="DX29" s="2">
        <v>1000</v>
      </c>
      <c r="DY29" s="2"/>
      <c r="DZ29" s="2" t="s">
        <v>6</v>
      </c>
      <c r="EA29" s="2" t="s">
        <v>6</v>
      </c>
      <c r="EB29" s="2" t="s">
        <v>6</v>
      </c>
      <c r="EC29" s="2" t="s">
        <v>6</v>
      </c>
      <c r="ED29" s="2"/>
      <c r="EE29" s="2">
        <v>53008004</v>
      </c>
      <c r="EF29" s="2">
        <v>1</v>
      </c>
      <c r="EG29" s="2" t="s">
        <v>22</v>
      </c>
      <c r="EH29" s="2">
        <v>0</v>
      </c>
      <c r="EI29" s="2" t="s">
        <v>6</v>
      </c>
      <c r="EJ29" s="2">
        <v>1</v>
      </c>
      <c r="EK29" s="2">
        <v>1001</v>
      </c>
      <c r="EL29" s="2" t="s">
        <v>23</v>
      </c>
      <c r="EM29" s="2" t="s">
        <v>24</v>
      </c>
      <c r="EN29" s="2"/>
      <c r="EO29" s="2" t="s">
        <v>6</v>
      </c>
      <c r="EP29" s="2"/>
      <c r="EQ29" s="2">
        <v>131072</v>
      </c>
      <c r="ER29" s="2">
        <v>394.84</v>
      </c>
      <c r="ES29" s="2">
        <v>4.3600000000000003</v>
      </c>
      <c r="ET29" s="2">
        <v>361.75</v>
      </c>
      <c r="EU29" s="2">
        <v>54.03</v>
      </c>
      <c r="EV29" s="2">
        <v>28.73</v>
      </c>
      <c r="EW29" s="2">
        <v>3.65</v>
      </c>
      <c r="EX29" s="2">
        <v>3.97</v>
      </c>
      <c r="EY29" s="2">
        <v>1</v>
      </c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>
        <v>0</v>
      </c>
      <c r="FR29" s="2">
        <f t="shared" si="34"/>
        <v>0</v>
      </c>
      <c r="FS29" s="2">
        <v>0</v>
      </c>
      <c r="FT29" s="2"/>
      <c r="FU29" s="2"/>
      <c r="FV29" s="2"/>
      <c r="FW29" s="2"/>
      <c r="FX29" s="2">
        <v>95</v>
      </c>
      <c r="FY29" s="2">
        <v>50</v>
      </c>
      <c r="FZ29" s="2"/>
      <c r="GA29" s="2" t="s">
        <v>6</v>
      </c>
      <c r="GB29" s="2"/>
      <c r="GC29" s="2"/>
      <c r="GD29" s="2">
        <v>1</v>
      </c>
      <c r="GE29" s="2"/>
      <c r="GF29" s="2">
        <v>-2119245907</v>
      </c>
      <c r="GG29" s="2">
        <v>2</v>
      </c>
      <c r="GH29" s="2">
        <v>1</v>
      </c>
      <c r="GI29" s="2">
        <v>-2</v>
      </c>
      <c r="GJ29" s="2">
        <v>0</v>
      </c>
      <c r="GK29" s="2">
        <v>0</v>
      </c>
      <c r="GL29" s="2">
        <f t="shared" si="35"/>
        <v>0</v>
      </c>
      <c r="GM29" s="2">
        <f t="shared" si="36"/>
        <v>1635</v>
      </c>
      <c r="GN29" s="2">
        <f t="shared" si="37"/>
        <v>1635</v>
      </c>
      <c r="GO29" s="2">
        <f t="shared" si="38"/>
        <v>0</v>
      </c>
      <c r="GP29" s="2">
        <f t="shared" si="39"/>
        <v>0</v>
      </c>
      <c r="GQ29" s="2"/>
      <c r="GR29" s="2">
        <v>0</v>
      </c>
      <c r="GS29" s="2">
        <v>3</v>
      </c>
      <c r="GT29" s="2">
        <v>0</v>
      </c>
      <c r="GU29" s="2" t="s">
        <v>6</v>
      </c>
      <c r="GV29" s="2">
        <f t="shared" si="40"/>
        <v>0</v>
      </c>
      <c r="GW29" s="2">
        <v>1</v>
      </c>
      <c r="GX29" s="2">
        <f t="shared" si="41"/>
        <v>0</v>
      </c>
      <c r="GY29" s="2"/>
      <c r="GZ29" s="2"/>
      <c r="HA29" s="2">
        <v>0</v>
      </c>
      <c r="HB29" s="2">
        <v>0</v>
      </c>
      <c r="HC29" s="2">
        <f t="shared" si="42"/>
        <v>0</v>
      </c>
      <c r="HD29" s="2"/>
      <c r="HE29" s="2" t="s">
        <v>6</v>
      </c>
      <c r="HF29" s="2" t="s">
        <v>6</v>
      </c>
      <c r="HG29" s="2"/>
      <c r="HH29" s="2"/>
      <c r="HI29" s="2"/>
      <c r="HJ29" s="2"/>
      <c r="HK29" s="2"/>
      <c r="HL29" s="2"/>
      <c r="HM29" s="2" t="s">
        <v>6</v>
      </c>
      <c r="HN29" s="2" t="s">
        <v>6</v>
      </c>
      <c r="HO29" s="2" t="s">
        <v>6</v>
      </c>
      <c r="HP29" s="2" t="s">
        <v>6</v>
      </c>
      <c r="HQ29" s="2" t="s">
        <v>6</v>
      </c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>
        <v>-1</v>
      </c>
      <c r="IG29" s="2"/>
      <c r="IH29" s="2"/>
      <c r="II29" s="2"/>
      <c r="IJ29" s="2"/>
      <c r="IK29" s="2">
        <v>0</v>
      </c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x14ac:dyDescent="0.2">
      <c r="A30">
        <v>17</v>
      </c>
      <c r="B30">
        <v>1</v>
      </c>
      <c r="C30">
        <f>ROW(SmtRes!A14)</f>
        <v>14</v>
      </c>
      <c r="D30">
        <f>ROW(EtalonRes!A16)</f>
        <v>16</v>
      </c>
      <c r="E30" t="s">
        <v>33</v>
      </c>
      <c r="F30" t="s">
        <v>34</v>
      </c>
      <c r="G30" t="s">
        <v>35</v>
      </c>
      <c r="H30" t="s">
        <v>20</v>
      </c>
      <c r="I30">
        <f>'2.Лок.смета.и.Акт в ЕР'!E63</f>
        <v>3.2006999999999999</v>
      </c>
      <c r="J30">
        <v>0</v>
      </c>
      <c r="K30">
        <f>ROUND(I26,9)</f>
        <v>3.2006999999999999</v>
      </c>
      <c r="O30">
        <f t="shared" si="14"/>
        <v>9751</v>
      </c>
      <c r="P30">
        <f t="shared" si="15"/>
        <v>0</v>
      </c>
      <c r="Q30">
        <f t="shared" si="16"/>
        <v>7422</v>
      </c>
      <c r="R30">
        <f t="shared" si="17"/>
        <v>3170</v>
      </c>
      <c r="S30">
        <f t="shared" si="18"/>
        <v>2329</v>
      </c>
      <c r="T30">
        <f t="shared" si="19"/>
        <v>0</v>
      </c>
      <c r="U30">
        <f t="shared" si="20"/>
        <v>11.682554999999999</v>
      </c>
      <c r="V30">
        <f t="shared" si="21"/>
        <v>12.706779000000001</v>
      </c>
      <c r="W30">
        <f t="shared" si="22"/>
        <v>0</v>
      </c>
      <c r="X30">
        <f t="shared" si="23"/>
        <v>4949</v>
      </c>
      <c r="Y30">
        <f t="shared" si="23"/>
        <v>2365</v>
      </c>
      <c r="AA30">
        <v>62803416</v>
      </c>
      <c r="AB30">
        <f t="shared" si="24"/>
        <v>390.48</v>
      </c>
      <c r="AC30">
        <f>ROUND((ES30+(SUM(SmtRes!BC11:'SmtRes'!BC14)+SUM(EtalonRes!AL12:'EtalonRes'!AL16))),2)</f>
        <v>0</v>
      </c>
      <c r="AD30">
        <f>ROUND((((ET30)-(EU30))+AE30),2)</f>
        <v>361.75</v>
      </c>
      <c r="AE30">
        <f>ROUND((EU30),2)</f>
        <v>54.03</v>
      </c>
      <c r="AF30">
        <f>ROUND((EV30),2)</f>
        <v>28.73</v>
      </c>
      <c r="AG30">
        <f t="shared" si="25"/>
        <v>0</v>
      </c>
      <c r="AH30">
        <f t="shared" si="26"/>
        <v>3.65</v>
      </c>
      <c r="AI30">
        <f t="shared" si="26"/>
        <v>3.97</v>
      </c>
      <c r="AJ30">
        <f t="shared" si="27"/>
        <v>0</v>
      </c>
      <c r="AK30" s="77">
        <f>AL30+AM30+AO30</f>
        <v>394.84000000000003</v>
      </c>
      <c r="AL30">
        <v>4.3600000000000003</v>
      </c>
      <c r="AM30" s="77">
        <f>'2.Лок.смета.и.Акт в ЕР'!F65</f>
        <v>361.75</v>
      </c>
      <c r="AN30" s="77">
        <f>'2.Лок.смета.и.Акт в ЕР'!F66</f>
        <v>54.03</v>
      </c>
      <c r="AO30" s="77">
        <f>'2.Лок.смета.и.Акт в ЕР'!F64</f>
        <v>28.73</v>
      </c>
      <c r="AP30">
        <v>0</v>
      </c>
      <c r="AQ30">
        <f>'2.Лок.смета.и.Акт в ЕР'!E69</f>
        <v>3.65</v>
      </c>
      <c r="AR30">
        <v>3.97</v>
      </c>
      <c r="AS30">
        <v>0</v>
      </c>
      <c r="AT30">
        <v>90</v>
      </c>
      <c r="AU30">
        <v>43</v>
      </c>
      <c r="AV30">
        <v>1</v>
      </c>
      <c r="AW30">
        <v>1</v>
      </c>
      <c r="AZ30">
        <v>1</v>
      </c>
      <c r="BA30">
        <f>'2.Лок.смета.и.Акт в ЕР'!J64</f>
        <v>25.33</v>
      </c>
      <c r="BB30">
        <f>'2.Лок.смета.и.Акт в ЕР'!J65</f>
        <v>6.41</v>
      </c>
      <c r="BC30">
        <v>7.56</v>
      </c>
      <c r="BD30" t="s">
        <v>6</v>
      </c>
      <c r="BE30" t="s">
        <v>6</v>
      </c>
      <c r="BF30" t="s">
        <v>6</v>
      </c>
      <c r="BG30" t="s">
        <v>6</v>
      </c>
      <c r="BH30">
        <v>0</v>
      </c>
      <c r="BI30">
        <v>1</v>
      </c>
      <c r="BJ30" t="s">
        <v>36</v>
      </c>
      <c r="BM30">
        <v>1001</v>
      </c>
      <c r="BN30">
        <v>0</v>
      </c>
      <c r="BO30" t="s">
        <v>34</v>
      </c>
      <c r="BP30">
        <v>1</v>
      </c>
      <c r="BQ30">
        <v>1</v>
      </c>
      <c r="BR30">
        <v>0</v>
      </c>
      <c r="BS30">
        <f>'2.Лок.смета.и.Акт в ЕР'!J66</f>
        <v>18.329999999999998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6</v>
      </c>
      <c r="BZ30">
        <v>90</v>
      </c>
      <c r="CA30">
        <v>43</v>
      </c>
      <c r="CB30" t="s">
        <v>6</v>
      </c>
      <c r="CE30">
        <v>0</v>
      </c>
      <c r="CF30">
        <v>0</v>
      </c>
      <c r="CG30">
        <v>0</v>
      </c>
      <c r="CM30">
        <v>0</v>
      </c>
      <c r="CN30" t="s">
        <v>6</v>
      </c>
      <c r="CO30">
        <v>0</v>
      </c>
      <c r="CP30">
        <f t="shared" si="28"/>
        <v>9751</v>
      </c>
      <c r="CQ30">
        <f t="shared" si="29"/>
        <v>0</v>
      </c>
      <c r="CR30">
        <f t="shared" si="30"/>
        <v>2318.8175000000001</v>
      </c>
      <c r="CS30">
        <f t="shared" si="31"/>
        <v>990.36989999999992</v>
      </c>
      <c r="CT30">
        <f t="shared" si="32"/>
        <v>727.73089999999991</v>
      </c>
      <c r="CU30">
        <f t="shared" si="33"/>
        <v>0</v>
      </c>
      <c r="CV30">
        <f t="shared" si="33"/>
        <v>3.65</v>
      </c>
      <c r="CW30">
        <f t="shared" si="33"/>
        <v>3.97</v>
      </c>
      <c r="CX30">
        <f t="shared" si="33"/>
        <v>0</v>
      </c>
      <c r="CY30">
        <f>(S30+R30)*(BZ30/100)</f>
        <v>4949.1000000000004</v>
      </c>
      <c r="CZ30">
        <f>(S30+R30)*(CA30/100)</f>
        <v>2364.5700000000002</v>
      </c>
      <c r="DC30" t="s">
        <v>6</v>
      </c>
      <c r="DD30" t="s">
        <v>6</v>
      </c>
      <c r="DE30" t="s">
        <v>6</v>
      </c>
      <c r="DF30" t="s">
        <v>6</v>
      </c>
      <c r="DG30" t="s">
        <v>6</v>
      </c>
      <c r="DH30" t="s">
        <v>6</v>
      </c>
      <c r="DI30" t="s">
        <v>6</v>
      </c>
      <c r="DJ30" t="s">
        <v>6</v>
      </c>
      <c r="DK30" t="s">
        <v>6</v>
      </c>
      <c r="DL30" t="s">
        <v>6</v>
      </c>
      <c r="DM30" t="s">
        <v>6</v>
      </c>
      <c r="DN30">
        <f>'2.Лок.смета.и.Акт в ЕР'!E67</f>
        <v>95</v>
      </c>
      <c r="DO30">
        <f>'2.Лок.смета.и.Акт в ЕР'!E68</f>
        <v>50</v>
      </c>
      <c r="DP30">
        <v>1</v>
      </c>
      <c r="DQ30">
        <v>1</v>
      </c>
      <c r="DU30">
        <v>1007</v>
      </c>
      <c r="DV30" t="s">
        <v>20</v>
      </c>
      <c r="DW30" t="str">
        <f>'2.Лок.смета.и.Акт в ЕР'!D63</f>
        <v>1000 м3 грунта</v>
      </c>
      <c r="DX30">
        <v>1000</v>
      </c>
      <c r="DZ30" t="s">
        <v>6</v>
      </c>
      <c r="EA30" t="s">
        <v>6</v>
      </c>
      <c r="EB30" t="s">
        <v>6</v>
      </c>
      <c r="EC30" t="s">
        <v>6</v>
      </c>
      <c r="EE30">
        <v>53008004</v>
      </c>
      <c r="EF30">
        <v>1</v>
      </c>
      <c r="EG30" t="s">
        <v>22</v>
      </c>
      <c r="EH30">
        <v>0</v>
      </c>
      <c r="EI30" t="s">
        <v>6</v>
      </c>
      <c r="EJ30">
        <v>1</v>
      </c>
      <c r="EK30">
        <v>1001</v>
      </c>
      <c r="EL30" t="s">
        <v>23</v>
      </c>
      <c r="EM30" t="s">
        <v>24</v>
      </c>
      <c r="EO30" t="s">
        <v>6</v>
      </c>
      <c r="EQ30">
        <v>131072</v>
      </c>
      <c r="ER30" s="77">
        <f>ES30+ET30+EV30</f>
        <v>394.84000000000003</v>
      </c>
      <c r="ES30">
        <v>4.3600000000000003</v>
      </c>
      <c r="ET30" s="77">
        <f>'2.Лок.смета.и.Акт в ЕР'!F65</f>
        <v>361.75</v>
      </c>
      <c r="EU30" s="77">
        <f>'2.Лок.смета.и.Акт в ЕР'!F66</f>
        <v>54.03</v>
      </c>
      <c r="EV30" s="77">
        <f>'2.Лок.смета.и.Акт в ЕР'!F64</f>
        <v>28.73</v>
      </c>
      <c r="EW30">
        <f>'2.Лок.смета.и.Акт в ЕР'!E69</f>
        <v>3.65</v>
      </c>
      <c r="EX30">
        <v>3.97</v>
      </c>
      <c r="EY30">
        <v>1</v>
      </c>
      <c r="FQ30">
        <v>0</v>
      </c>
      <c r="FR30">
        <f t="shared" si="34"/>
        <v>0</v>
      </c>
      <c r="FS30">
        <v>0</v>
      </c>
      <c r="FX30">
        <v>95</v>
      </c>
      <c r="FY30">
        <v>50</v>
      </c>
      <c r="GA30" t="s">
        <v>6</v>
      </c>
      <c r="GD30">
        <v>1</v>
      </c>
      <c r="GF30">
        <v>-2119245907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35"/>
        <v>0</v>
      </c>
      <c r="GM30">
        <f t="shared" si="36"/>
        <v>17065</v>
      </c>
      <c r="GN30">
        <f t="shared" si="37"/>
        <v>17065</v>
      </c>
      <c r="GO30">
        <f t="shared" si="38"/>
        <v>0</v>
      </c>
      <c r="GP30">
        <f t="shared" si="39"/>
        <v>0</v>
      </c>
      <c r="GR30">
        <v>0</v>
      </c>
      <c r="GS30">
        <v>3</v>
      </c>
      <c r="GT30">
        <v>0</v>
      </c>
      <c r="GU30" t="s">
        <v>6</v>
      </c>
      <c r="GV30">
        <f t="shared" si="40"/>
        <v>0</v>
      </c>
      <c r="GW30">
        <v>1010.1</v>
      </c>
      <c r="GX30">
        <f t="shared" si="41"/>
        <v>0</v>
      </c>
      <c r="HA30">
        <v>0</v>
      </c>
      <c r="HB30">
        <v>0</v>
      </c>
      <c r="HC30">
        <f t="shared" si="42"/>
        <v>0</v>
      </c>
      <c r="HE30" t="s">
        <v>6</v>
      </c>
      <c r="HF30" t="s">
        <v>6</v>
      </c>
      <c r="HM30" t="s">
        <v>6</v>
      </c>
      <c r="HN30" t="s">
        <v>6</v>
      </c>
      <c r="HO30" t="s">
        <v>6</v>
      </c>
      <c r="HP30" t="s">
        <v>6</v>
      </c>
      <c r="HQ30" t="s">
        <v>6</v>
      </c>
      <c r="IF30">
        <v>-1</v>
      </c>
      <c r="IK30">
        <v>0</v>
      </c>
    </row>
    <row r="31" spans="1:255" x14ac:dyDescent="0.2">
      <c r="A31" s="2">
        <v>17</v>
      </c>
      <c r="B31" s="2">
        <v>1</v>
      </c>
      <c r="C31" s="2">
        <f>ROW(SmtRes!A15)</f>
        <v>15</v>
      </c>
      <c r="D31" s="2">
        <f>ROW(EtalonRes!A17)</f>
        <v>17</v>
      </c>
      <c r="E31" s="2" t="s">
        <v>37</v>
      </c>
      <c r="F31" s="2" t="s">
        <v>38</v>
      </c>
      <c r="G31" s="2" t="s">
        <v>39</v>
      </c>
      <c r="H31" s="2" t="s">
        <v>40</v>
      </c>
      <c r="I31" s="2">
        <f>'2.Лок.смета.и.Акт в ЕР'!E72</f>
        <v>1.4420999999999999</v>
      </c>
      <c r="J31" s="2">
        <v>0</v>
      </c>
      <c r="K31" s="2">
        <f>ROUND(144.21/100,9)</f>
        <v>1.4420999999999999</v>
      </c>
      <c r="L31" s="2"/>
      <c r="M31" s="2"/>
      <c r="N31" s="2"/>
      <c r="O31" s="2">
        <f t="shared" si="14"/>
        <v>2097</v>
      </c>
      <c r="P31" s="2">
        <f t="shared" si="15"/>
        <v>0</v>
      </c>
      <c r="Q31" s="2">
        <f t="shared" si="16"/>
        <v>0</v>
      </c>
      <c r="R31" s="2">
        <f t="shared" si="17"/>
        <v>0</v>
      </c>
      <c r="S31" s="2">
        <f t="shared" si="18"/>
        <v>2097</v>
      </c>
      <c r="T31" s="2">
        <f t="shared" si="19"/>
        <v>0</v>
      </c>
      <c r="U31" s="2">
        <f t="shared" si="20"/>
        <v>266.50007999999997</v>
      </c>
      <c r="V31" s="2">
        <f t="shared" si="21"/>
        <v>0</v>
      </c>
      <c r="W31" s="2">
        <f t="shared" si="22"/>
        <v>0</v>
      </c>
      <c r="X31" s="2">
        <f t="shared" si="23"/>
        <v>1678</v>
      </c>
      <c r="Y31" s="2">
        <f t="shared" si="23"/>
        <v>944</v>
      </c>
      <c r="Z31" s="2"/>
      <c r="AA31" s="2">
        <v>62803415</v>
      </c>
      <c r="AB31" s="2">
        <f t="shared" si="24"/>
        <v>1454.38</v>
      </c>
      <c r="AC31" s="2">
        <f>ROUND((ES31),2)</f>
        <v>0</v>
      </c>
      <c r="AD31" s="2">
        <f>ROUND((((ET31)-(EU31))+AE31),2)</f>
        <v>0</v>
      </c>
      <c r="AE31" s="2">
        <f>ROUND((EU31),2)</f>
        <v>0</v>
      </c>
      <c r="AF31" s="2">
        <f>ROUND(((EV31*1.2)),2)</f>
        <v>1454.38</v>
      </c>
      <c r="AG31" s="2">
        <f t="shared" si="25"/>
        <v>0</v>
      </c>
      <c r="AH31" s="2">
        <f>((EW31*1.2))</f>
        <v>184.79999999999998</v>
      </c>
      <c r="AI31" s="2">
        <f>(EX31)</f>
        <v>0</v>
      </c>
      <c r="AJ31" s="2">
        <f t="shared" si="27"/>
        <v>0</v>
      </c>
      <c r="AK31" s="2">
        <v>1211.98</v>
      </c>
      <c r="AL31" s="2">
        <v>0</v>
      </c>
      <c r="AM31" s="2">
        <v>0</v>
      </c>
      <c r="AN31" s="2">
        <v>0</v>
      </c>
      <c r="AO31" s="2">
        <v>1211.98</v>
      </c>
      <c r="AP31" s="2">
        <v>0</v>
      </c>
      <c r="AQ31" s="2">
        <v>154</v>
      </c>
      <c r="AR31" s="2">
        <v>0</v>
      </c>
      <c r="AS31" s="2">
        <v>0</v>
      </c>
      <c r="AT31" s="2">
        <v>80</v>
      </c>
      <c r="AU31" s="2">
        <v>45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</v>
      </c>
      <c r="BD31" s="2" t="s">
        <v>6</v>
      </c>
      <c r="BE31" s="2" t="s">
        <v>6</v>
      </c>
      <c r="BF31" s="2" t="s">
        <v>6</v>
      </c>
      <c r="BG31" s="2" t="s">
        <v>6</v>
      </c>
      <c r="BH31" s="2">
        <v>0</v>
      </c>
      <c r="BI31" s="2">
        <v>1</v>
      </c>
      <c r="BJ31" s="2" t="s">
        <v>41</v>
      </c>
      <c r="BK31" s="2"/>
      <c r="BL31" s="2"/>
      <c r="BM31" s="2">
        <v>1003</v>
      </c>
      <c r="BN31" s="2">
        <v>0</v>
      </c>
      <c r="BO31" s="2" t="s">
        <v>6</v>
      </c>
      <c r="BP31" s="2">
        <v>0</v>
      </c>
      <c r="BQ31" s="2">
        <v>1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6</v>
      </c>
      <c r="BZ31" s="2">
        <v>80</v>
      </c>
      <c r="CA31" s="2">
        <v>45</v>
      </c>
      <c r="CB31" s="2" t="s">
        <v>6</v>
      </c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2" t="s">
        <v>42</v>
      </c>
      <c r="CO31" s="2">
        <v>0</v>
      </c>
      <c r="CP31" s="2">
        <f t="shared" si="28"/>
        <v>2097</v>
      </c>
      <c r="CQ31" s="2">
        <f t="shared" si="29"/>
        <v>0</v>
      </c>
      <c r="CR31" s="2">
        <f t="shared" si="30"/>
        <v>0</v>
      </c>
      <c r="CS31" s="2">
        <f t="shared" si="31"/>
        <v>0</v>
      </c>
      <c r="CT31" s="2">
        <f t="shared" si="32"/>
        <v>1454.38</v>
      </c>
      <c r="CU31" s="2">
        <f t="shared" si="33"/>
        <v>0</v>
      </c>
      <c r="CV31" s="2">
        <f t="shared" si="33"/>
        <v>184.79999999999998</v>
      </c>
      <c r="CW31" s="2">
        <f t="shared" si="33"/>
        <v>0</v>
      </c>
      <c r="CX31" s="2">
        <f t="shared" si="33"/>
        <v>0</v>
      </c>
      <c r="CY31" s="2">
        <f>(((S31+(R31*IF(0,0,1)))*AT31)/100)</f>
        <v>1677.6</v>
      </c>
      <c r="CZ31" s="2">
        <f>(((S31+(R31*IF(0,0,1)))*AU31)/100)</f>
        <v>943.65</v>
      </c>
      <c r="DA31" s="2"/>
      <c r="DB31" s="2"/>
      <c r="DC31" s="2" t="s">
        <v>6</v>
      </c>
      <c r="DD31" s="2" t="s">
        <v>6</v>
      </c>
      <c r="DE31" s="2" t="s">
        <v>6</v>
      </c>
      <c r="DF31" s="2" t="s">
        <v>6</v>
      </c>
      <c r="DG31" s="2" t="s">
        <v>43</v>
      </c>
      <c r="DH31" s="2" t="s">
        <v>6</v>
      </c>
      <c r="DI31" s="2" t="s">
        <v>43</v>
      </c>
      <c r="DJ31" s="2" t="s">
        <v>6</v>
      </c>
      <c r="DK31" s="2" t="s">
        <v>6</v>
      </c>
      <c r="DL31" s="2" t="s">
        <v>6</v>
      </c>
      <c r="DM31" s="2" t="s">
        <v>6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1013</v>
      </c>
      <c r="DV31" s="2" t="s">
        <v>40</v>
      </c>
      <c r="DW31" s="2" t="s">
        <v>40</v>
      </c>
      <c r="DX31" s="2">
        <v>1</v>
      </c>
      <c r="DY31" s="2"/>
      <c r="DZ31" s="2" t="s">
        <v>6</v>
      </c>
      <c r="EA31" s="2" t="s">
        <v>6</v>
      </c>
      <c r="EB31" s="2" t="s">
        <v>6</v>
      </c>
      <c r="EC31" s="2" t="s">
        <v>6</v>
      </c>
      <c r="ED31" s="2"/>
      <c r="EE31" s="2">
        <v>53008006</v>
      </c>
      <c r="EF31" s="2">
        <v>1</v>
      </c>
      <c r="EG31" s="2" t="s">
        <v>22</v>
      </c>
      <c r="EH31" s="2">
        <v>0</v>
      </c>
      <c r="EI31" s="2" t="s">
        <v>6</v>
      </c>
      <c r="EJ31" s="2">
        <v>1</v>
      </c>
      <c r="EK31" s="2">
        <v>1003</v>
      </c>
      <c r="EL31" s="2" t="s">
        <v>44</v>
      </c>
      <c r="EM31" s="2" t="s">
        <v>24</v>
      </c>
      <c r="EN31" s="2"/>
      <c r="EO31" s="2" t="s">
        <v>45</v>
      </c>
      <c r="EP31" s="2"/>
      <c r="EQ31" s="2">
        <v>131072</v>
      </c>
      <c r="ER31" s="2">
        <v>1211.98</v>
      </c>
      <c r="ES31" s="2">
        <v>0</v>
      </c>
      <c r="ET31" s="2">
        <v>0</v>
      </c>
      <c r="EU31" s="2">
        <v>0</v>
      </c>
      <c r="EV31" s="2">
        <v>1211.98</v>
      </c>
      <c r="EW31" s="2">
        <v>154</v>
      </c>
      <c r="EX31" s="2">
        <v>0</v>
      </c>
      <c r="EY31" s="2">
        <v>0</v>
      </c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f t="shared" si="34"/>
        <v>0</v>
      </c>
      <c r="FS31" s="2">
        <v>0</v>
      </c>
      <c r="FT31" s="2"/>
      <c r="FU31" s="2"/>
      <c r="FV31" s="2"/>
      <c r="FW31" s="2"/>
      <c r="FX31" s="2">
        <v>80</v>
      </c>
      <c r="FY31" s="2">
        <v>45</v>
      </c>
      <c r="FZ31" s="2"/>
      <c r="GA31" s="2" t="s">
        <v>6</v>
      </c>
      <c r="GB31" s="2"/>
      <c r="GC31" s="2"/>
      <c r="GD31" s="2">
        <v>1</v>
      </c>
      <c r="GE31" s="2"/>
      <c r="GF31" s="2">
        <v>2023641234</v>
      </c>
      <c r="GG31" s="2">
        <v>2</v>
      </c>
      <c r="GH31" s="2">
        <v>1</v>
      </c>
      <c r="GI31" s="2">
        <v>-2</v>
      </c>
      <c r="GJ31" s="2">
        <v>0</v>
      </c>
      <c r="GK31" s="2">
        <v>0</v>
      </c>
      <c r="GL31" s="2">
        <f t="shared" si="35"/>
        <v>0</v>
      </c>
      <c r="GM31" s="2">
        <f t="shared" si="36"/>
        <v>4719</v>
      </c>
      <c r="GN31" s="2">
        <f t="shared" si="37"/>
        <v>4719</v>
      </c>
      <c r="GO31" s="2">
        <f t="shared" si="38"/>
        <v>0</v>
      </c>
      <c r="GP31" s="2">
        <f t="shared" si="39"/>
        <v>0</v>
      </c>
      <c r="GQ31" s="2"/>
      <c r="GR31" s="2">
        <v>0</v>
      </c>
      <c r="GS31" s="2">
        <v>3</v>
      </c>
      <c r="GT31" s="2">
        <v>0</v>
      </c>
      <c r="GU31" s="2" t="s">
        <v>6</v>
      </c>
      <c r="GV31" s="2">
        <f t="shared" si="40"/>
        <v>0</v>
      </c>
      <c r="GW31" s="2">
        <v>1</v>
      </c>
      <c r="GX31" s="2">
        <f t="shared" si="41"/>
        <v>0</v>
      </c>
      <c r="GY31" s="2"/>
      <c r="GZ31" s="2"/>
      <c r="HA31" s="2">
        <v>0</v>
      </c>
      <c r="HB31" s="2">
        <v>0</v>
      </c>
      <c r="HC31" s="2">
        <f t="shared" si="42"/>
        <v>0</v>
      </c>
      <c r="HD31" s="2"/>
      <c r="HE31" s="2" t="s">
        <v>6</v>
      </c>
      <c r="HF31" s="2" t="s">
        <v>6</v>
      </c>
      <c r="HG31" s="2"/>
      <c r="HH31" s="2"/>
      <c r="HI31" s="2"/>
      <c r="HJ31" s="2"/>
      <c r="HK31" s="2"/>
      <c r="HL31" s="2"/>
      <c r="HM31" s="2" t="s">
        <v>6</v>
      </c>
      <c r="HN31" s="2" t="s">
        <v>6</v>
      </c>
      <c r="HO31" s="2" t="s">
        <v>6</v>
      </c>
      <c r="HP31" s="2" t="s">
        <v>6</v>
      </c>
      <c r="HQ31" s="2" t="s">
        <v>6</v>
      </c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>
        <v>-1</v>
      </c>
      <c r="IG31" s="2"/>
      <c r="IH31" s="2"/>
      <c r="II31" s="2"/>
      <c r="IJ31" s="2"/>
      <c r="IK31" s="2">
        <v>0</v>
      </c>
      <c r="IL31" s="2" t="s">
        <v>209</v>
      </c>
      <c r="IM31" s="2">
        <v>1.4420999999999999</v>
      </c>
      <c r="IN31" s="2"/>
      <c r="IO31" s="2"/>
      <c r="IP31" s="2"/>
      <c r="IQ31" s="2"/>
      <c r="IR31" s="2"/>
      <c r="IS31" s="2"/>
      <c r="IT31" s="2"/>
      <c r="IU31" s="2"/>
    </row>
    <row r="32" spans="1:255" x14ac:dyDescent="0.2">
      <c r="A32">
        <v>17</v>
      </c>
      <c r="B32">
        <v>1</v>
      </c>
      <c r="C32">
        <f>ROW(SmtRes!A16)</f>
        <v>16</v>
      </c>
      <c r="D32">
        <f>ROW(EtalonRes!A18)</f>
        <v>18</v>
      </c>
      <c r="E32" t="s">
        <v>37</v>
      </c>
      <c r="F32" t="s">
        <v>38</v>
      </c>
      <c r="G32" t="s">
        <v>39</v>
      </c>
      <c r="H32" t="s">
        <v>40</v>
      </c>
      <c r="I32">
        <f>'2.Лок.смета.и.Акт в ЕР'!E72</f>
        <v>1.4420999999999999</v>
      </c>
      <c r="J32">
        <v>0</v>
      </c>
      <c r="K32">
        <f>ROUND(144.21/100,9)</f>
        <v>1.4420999999999999</v>
      </c>
      <c r="O32">
        <f t="shared" si="14"/>
        <v>53126</v>
      </c>
      <c r="P32">
        <f t="shared" si="15"/>
        <v>0</v>
      </c>
      <c r="Q32">
        <f t="shared" si="16"/>
        <v>0</v>
      </c>
      <c r="R32">
        <f t="shared" si="17"/>
        <v>0</v>
      </c>
      <c r="S32">
        <f t="shared" si="18"/>
        <v>53126</v>
      </c>
      <c r="T32">
        <f t="shared" si="19"/>
        <v>0</v>
      </c>
      <c r="U32">
        <f t="shared" si="20"/>
        <v>266.50007999999997</v>
      </c>
      <c r="V32">
        <f t="shared" si="21"/>
        <v>0</v>
      </c>
      <c r="W32">
        <f t="shared" si="22"/>
        <v>0</v>
      </c>
      <c r="X32">
        <f t="shared" si="23"/>
        <v>40376</v>
      </c>
      <c r="Y32">
        <f t="shared" si="23"/>
        <v>20188</v>
      </c>
      <c r="AA32">
        <v>62803416</v>
      </c>
      <c r="AB32">
        <f t="shared" si="24"/>
        <v>1454.38</v>
      </c>
      <c r="AC32">
        <f>ROUND((ES32),2)</f>
        <v>0</v>
      </c>
      <c r="AD32">
        <f>ROUND((((ET32)-(EU32))+AE32),2)</f>
        <v>0</v>
      </c>
      <c r="AE32">
        <f>ROUND((EU32),2)</f>
        <v>0</v>
      </c>
      <c r="AF32">
        <f>ROUND(((EV32*1.2)),2)</f>
        <v>1454.38</v>
      </c>
      <c r="AG32">
        <f t="shared" si="25"/>
        <v>0</v>
      </c>
      <c r="AH32">
        <f>((EW32*1.2))</f>
        <v>184.79999999999998</v>
      </c>
      <c r="AI32">
        <f>(EX32)</f>
        <v>0</v>
      </c>
      <c r="AJ32">
        <f t="shared" si="27"/>
        <v>0</v>
      </c>
      <c r="AK32" s="77">
        <f>AL32+AM32+AO32</f>
        <v>1211.98</v>
      </c>
      <c r="AL32">
        <v>0</v>
      </c>
      <c r="AM32">
        <v>0</v>
      </c>
      <c r="AN32">
        <v>0</v>
      </c>
      <c r="AO32" s="77">
        <f>'2.Лок.смета.и.Акт в ЕР'!F74</f>
        <v>1211.98</v>
      </c>
      <c r="AP32">
        <v>0</v>
      </c>
      <c r="AQ32">
        <f>'2.Лок.смета.и.Акт в ЕР'!E77</f>
        <v>154</v>
      </c>
      <c r="AR32">
        <v>0</v>
      </c>
      <c r="AS32">
        <v>0</v>
      </c>
      <c r="AT32">
        <v>76</v>
      </c>
      <c r="AU32">
        <v>38</v>
      </c>
      <c r="AV32">
        <v>1</v>
      </c>
      <c r="AW32">
        <v>1</v>
      </c>
      <c r="AZ32">
        <v>1</v>
      </c>
      <c r="BA32">
        <f>'2.Лок.смета.и.Акт в ЕР'!J74</f>
        <v>25.33</v>
      </c>
      <c r="BB32">
        <v>6.41</v>
      </c>
      <c r="BC32">
        <v>7.56</v>
      </c>
      <c r="BD32" t="s">
        <v>6</v>
      </c>
      <c r="BE32" t="s">
        <v>6</v>
      </c>
      <c r="BF32" t="s">
        <v>6</v>
      </c>
      <c r="BG32" t="s">
        <v>6</v>
      </c>
      <c r="BH32">
        <v>0</v>
      </c>
      <c r="BI32">
        <v>1</v>
      </c>
      <c r="BJ32" t="s">
        <v>41</v>
      </c>
      <c r="BM32">
        <v>1003</v>
      </c>
      <c r="BN32">
        <v>0</v>
      </c>
      <c r="BO32" t="s">
        <v>38</v>
      </c>
      <c r="BP32">
        <v>1</v>
      </c>
      <c r="BQ32">
        <v>1</v>
      </c>
      <c r="BR32">
        <v>0</v>
      </c>
      <c r="BS32">
        <v>18.329999999999998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6</v>
      </c>
      <c r="BZ32">
        <v>76</v>
      </c>
      <c r="CA32">
        <v>38</v>
      </c>
      <c r="CB32" t="s">
        <v>6</v>
      </c>
      <c r="CE32">
        <v>0</v>
      </c>
      <c r="CF32">
        <v>0</v>
      </c>
      <c r="CG32">
        <v>0</v>
      </c>
      <c r="CM32">
        <v>0</v>
      </c>
      <c r="CN32" t="s">
        <v>42</v>
      </c>
      <c r="CO32">
        <v>0</v>
      </c>
      <c r="CP32">
        <f t="shared" si="28"/>
        <v>53126</v>
      </c>
      <c r="CQ32">
        <f t="shared" si="29"/>
        <v>0</v>
      </c>
      <c r="CR32">
        <f t="shared" si="30"/>
        <v>0</v>
      </c>
      <c r="CS32">
        <f t="shared" si="31"/>
        <v>0</v>
      </c>
      <c r="CT32">
        <f t="shared" si="32"/>
        <v>36839.445399999997</v>
      </c>
      <c r="CU32">
        <f t="shared" si="33"/>
        <v>0</v>
      </c>
      <c r="CV32">
        <f t="shared" si="33"/>
        <v>184.79999999999998</v>
      </c>
      <c r="CW32">
        <f t="shared" si="33"/>
        <v>0</v>
      </c>
      <c r="CX32">
        <f t="shared" si="33"/>
        <v>0</v>
      </c>
      <c r="CY32">
        <f>(S32+R32)*(BZ32/100)</f>
        <v>40375.760000000002</v>
      </c>
      <c r="CZ32">
        <f>(S32+R32)*(CA32/100)</f>
        <v>20187.88</v>
      </c>
      <c r="DC32" t="s">
        <v>6</v>
      </c>
      <c r="DD32" t="s">
        <v>6</v>
      </c>
      <c r="DE32" t="s">
        <v>6</v>
      </c>
      <c r="DF32" t="s">
        <v>6</v>
      </c>
      <c r="DG32" t="s">
        <v>43</v>
      </c>
      <c r="DH32" t="s">
        <v>6</v>
      </c>
      <c r="DI32" t="s">
        <v>43</v>
      </c>
      <c r="DJ32" t="s">
        <v>6</v>
      </c>
      <c r="DK32" t="s">
        <v>6</v>
      </c>
      <c r="DL32" t="s">
        <v>6</v>
      </c>
      <c r="DM32" t="s">
        <v>6</v>
      </c>
      <c r="DN32">
        <f>'2.Лок.смета.и.Акт в ЕР'!E75</f>
        <v>80</v>
      </c>
      <c r="DO32">
        <f>'2.Лок.смета.и.Акт в ЕР'!E76</f>
        <v>45</v>
      </c>
      <c r="DP32">
        <v>1</v>
      </c>
      <c r="DQ32">
        <v>1</v>
      </c>
      <c r="DU32">
        <v>1013</v>
      </c>
      <c r="DV32" t="s">
        <v>40</v>
      </c>
      <c r="DW32" t="str">
        <f>'2.Лок.смета.и.Акт в ЕР'!D72</f>
        <v>100 м3 грунта</v>
      </c>
      <c r="DX32">
        <v>1</v>
      </c>
      <c r="DZ32" t="s">
        <v>6</v>
      </c>
      <c r="EA32" t="s">
        <v>6</v>
      </c>
      <c r="EB32" t="s">
        <v>6</v>
      </c>
      <c r="EC32" t="s">
        <v>6</v>
      </c>
      <c r="EE32">
        <v>53008006</v>
      </c>
      <c r="EF32">
        <v>1</v>
      </c>
      <c r="EG32" t="s">
        <v>22</v>
      </c>
      <c r="EH32">
        <v>0</v>
      </c>
      <c r="EI32" t="s">
        <v>6</v>
      </c>
      <c r="EJ32">
        <v>1</v>
      </c>
      <c r="EK32">
        <v>1003</v>
      </c>
      <c r="EL32" t="s">
        <v>44</v>
      </c>
      <c r="EM32" t="s">
        <v>24</v>
      </c>
      <c r="EO32" t="s">
        <v>45</v>
      </c>
      <c r="EQ32">
        <v>131072</v>
      </c>
      <c r="ER32" s="77">
        <f>ES32+ET32+EV32</f>
        <v>1211.98</v>
      </c>
      <c r="ES32">
        <v>0</v>
      </c>
      <c r="ET32">
        <v>0</v>
      </c>
      <c r="EU32">
        <v>0</v>
      </c>
      <c r="EV32" s="77">
        <f>'2.Лок.смета.и.Акт в ЕР'!F74</f>
        <v>1211.98</v>
      </c>
      <c r="EW32">
        <f>'2.Лок.смета.и.Акт в ЕР'!E77</f>
        <v>154</v>
      </c>
      <c r="EX32">
        <v>0</v>
      </c>
      <c r="EY32">
        <v>0</v>
      </c>
      <c r="FQ32">
        <v>0</v>
      </c>
      <c r="FR32">
        <f t="shared" si="34"/>
        <v>0</v>
      </c>
      <c r="FS32">
        <v>0</v>
      </c>
      <c r="FX32">
        <v>80</v>
      </c>
      <c r="FY32">
        <v>45</v>
      </c>
      <c r="GA32" t="s">
        <v>6</v>
      </c>
      <c r="GD32">
        <v>1</v>
      </c>
      <c r="GF32">
        <v>2023641234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35"/>
        <v>0</v>
      </c>
      <c r="GM32">
        <f t="shared" si="36"/>
        <v>113690</v>
      </c>
      <c r="GN32">
        <f t="shared" si="37"/>
        <v>113690</v>
      </c>
      <c r="GO32">
        <f t="shared" si="38"/>
        <v>0</v>
      </c>
      <c r="GP32">
        <f t="shared" si="39"/>
        <v>0</v>
      </c>
      <c r="GR32">
        <v>0</v>
      </c>
      <c r="GS32">
        <v>3</v>
      </c>
      <c r="GT32">
        <v>0</v>
      </c>
      <c r="GU32" t="s">
        <v>6</v>
      </c>
      <c r="GV32">
        <f t="shared" si="40"/>
        <v>0</v>
      </c>
      <c r="GW32">
        <v>1010.2</v>
      </c>
      <c r="GX32">
        <f t="shared" si="41"/>
        <v>0</v>
      </c>
      <c r="HA32">
        <v>0</v>
      </c>
      <c r="HB32">
        <v>0</v>
      </c>
      <c r="HC32">
        <f t="shared" si="42"/>
        <v>0</v>
      </c>
      <c r="HE32" t="s">
        <v>6</v>
      </c>
      <c r="HF32" t="s">
        <v>6</v>
      </c>
      <c r="HM32" t="s">
        <v>6</v>
      </c>
      <c r="HN32" t="s">
        <v>6</v>
      </c>
      <c r="HO32" t="s">
        <v>6</v>
      </c>
      <c r="HP32" t="s">
        <v>6</v>
      </c>
      <c r="HQ32" t="s">
        <v>6</v>
      </c>
      <c r="IF32">
        <v>-1</v>
      </c>
      <c r="IK32">
        <v>0</v>
      </c>
      <c r="IL32" t="s">
        <v>209</v>
      </c>
      <c r="IM32">
        <v>1.4420999999999999</v>
      </c>
    </row>
    <row r="33" spans="1:240" x14ac:dyDescent="0.2">
      <c r="IF33">
        <v>-1</v>
      </c>
    </row>
    <row r="34" spans="1:240" x14ac:dyDescent="0.2">
      <c r="A34" s="3">
        <v>51</v>
      </c>
      <c r="B34" s="3">
        <f>B20</f>
        <v>1</v>
      </c>
      <c r="C34" s="3">
        <f>A20</f>
        <v>3</v>
      </c>
      <c r="D34" s="3">
        <f>ROW(A20)</f>
        <v>20</v>
      </c>
      <c r="E34" s="3"/>
      <c r="F34" s="3" t="str">
        <f>IF(F20&lt;&gt;"",F20,"")</f>
        <v>5.1.1.1</v>
      </c>
      <c r="G34" s="3" t="str">
        <f>IF(G20&lt;&gt;"",G20,"")</f>
        <v>Устройство котлована</v>
      </c>
      <c r="H34" s="3">
        <v>0</v>
      </c>
      <c r="I34" s="3"/>
      <c r="J34" s="3"/>
      <c r="K34" s="3"/>
      <c r="L34" s="3"/>
      <c r="M34" s="3"/>
      <c r="N34" s="3"/>
      <c r="O34" s="3">
        <f t="shared" ref="O34:T34" si="43">ROUND(AB34,0)</f>
        <v>29890</v>
      </c>
      <c r="P34" s="3">
        <f t="shared" si="43"/>
        <v>0</v>
      </c>
      <c r="Q34" s="3">
        <f t="shared" si="43"/>
        <v>27701</v>
      </c>
      <c r="R34" s="3">
        <f t="shared" si="43"/>
        <v>1304</v>
      </c>
      <c r="S34" s="3">
        <f t="shared" si="43"/>
        <v>2189</v>
      </c>
      <c r="T34" s="3">
        <f t="shared" si="43"/>
        <v>0</v>
      </c>
      <c r="U34" s="3">
        <f>AH34</f>
        <v>278.18263499999995</v>
      </c>
      <c r="V34" s="3">
        <f>AI34</f>
        <v>95.796950999999993</v>
      </c>
      <c r="W34" s="3">
        <f>ROUND(AJ34,0)</f>
        <v>0</v>
      </c>
      <c r="X34" s="3">
        <f>ROUND(AK34,0)</f>
        <v>3004</v>
      </c>
      <c r="Y34" s="3">
        <f>ROUND(AL34,0)</f>
        <v>1643</v>
      </c>
      <c r="Z34" s="3"/>
      <c r="AA34" s="3"/>
      <c r="AB34" s="3">
        <f>ROUND(SUMIF(AA24:AA32,"=62803415",O24:O32),0)</f>
        <v>29890</v>
      </c>
      <c r="AC34" s="3">
        <f>ROUND(SUMIF(AA24:AA32,"=62803415",P24:P32),0)</f>
        <v>0</v>
      </c>
      <c r="AD34" s="3">
        <f>ROUND(SUMIF(AA24:AA32,"=62803415",Q24:Q32),0)</f>
        <v>27701</v>
      </c>
      <c r="AE34" s="3">
        <f>ROUND(SUMIF(AA24:AA32,"=62803415",R24:R32),0)</f>
        <v>1304</v>
      </c>
      <c r="AF34" s="3">
        <f>ROUND(SUMIF(AA24:AA32,"=62803415",S24:S32),0)</f>
        <v>2189</v>
      </c>
      <c r="AG34" s="3">
        <f>ROUND(SUMIF(AA24:AA32,"=62803415",T24:T32),0)</f>
        <v>0</v>
      </c>
      <c r="AH34" s="3">
        <f>SUMIF(AA24:AA32,"=62803415",U24:U32)</f>
        <v>278.18263499999995</v>
      </c>
      <c r="AI34" s="3">
        <f>SUMIF(AA24:AA32,"=62803415",V24:V32)</f>
        <v>95.796950999999993</v>
      </c>
      <c r="AJ34" s="3">
        <f>ROUND(SUMIF(AA24:AA32,"=62803415",W24:W32),0)</f>
        <v>0</v>
      </c>
      <c r="AK34" s="3">
        <f>ROUND(SUMIF(AA24:AA32,"=62803415",X24:X32),0)</f>
        <v>3004</v>
      </c>
      <c r="AL34" s="3">
        <f>ROUND(SUMIF(AA24:AA32,"=62803415",Y24:Y32),0)</f>
        <v>1643</v>
      </c>
      <c r="AM34" s="3"/>
      <c r="AN34" s="3"/>
      <c r="AO34" s="3">
        <f t="shared" ref="AO34:BD34" si="44">ROUND(BX34,0)</f>
        <v>0</v>
      </c>
      <c r="AP34" s="3">
        <f t="shared" si="44"/>
        <v>0</v>
      </c>
      <c r="AQ34" s="3">
        <f t="shared" si="44"/>
        <v>0</v>
      </c>
      <c r="AR34" s="3">
        <f t="shared" si="44"/>
        <v>34537</v>
      </c>
      <c r="AS34" s="3">
        <f t="shared" si="44"/>
        <v>34537</v>
      </c>
      <c r="AT34" s="3">
        <f t="shared" si="44"/>
        <v>0</v>
      </c>
      <c r="AU34" s="3">
        <f t="shared" si="44"/>
        <v>0</v>
      </c>
      <c r="AV34" s="3">
        <f t="shared" si="44"/>
        <v>0</v>
      </c>
      <c r="AW34" s="3">
        <f t="shared" si="44"/>
        <v>0</v>
      </c>
      <c r="AX34" s="3">
        <f t="shared" si="44"/>
        <v>0</v>
      </c>
      <c r="AY34" s="3">
        <f t="shared" si="44"/>
        <v>0</v>
      </c>
      <c r="AZ34" s="3">
        <f t="shared" si="44"/>
        <v>0</v>
      </c>
      <c r="BA34" s="3">
        <f t="shared" si="44"/>
        <v>0</v>
      </c>
      <c r="BB34" s="3">
        <f t="shared" si="44"/>
        <v>0</v>
      </c>
      <c r="BC34" s="3">
        <f t="shared" si="44"/>
        <v>0</v>
      </c>
      <c r="BD34" s="3">
        <f t="shared" si="44"/>
        <v>16406</v>
      </c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>
        <f>ROUND(SUMIF(AA24:AA32,"=62803415",FQ24:FQ32),0)</f>
        <v>0</v>
      </c>
      <c r="BY34" s="3">
        <f>ROUND(SUMIF(AA24:AA32,"=62803415",FR24:FR32),0)</f>
        <v>0</v>
      </c>
      <c r="BZ34" s="3">
        <f>ROUND(SUMIF(AA24:AA32,"=62803415",GL24:GL32),0)</f>
        <v>0</v>
      </c>
      <c r="CA34" s="3">
        <f>ROUND(SUMIF(AA24:AA32,"=62803415",GM24:GM32),0)</f>
        <v>34537</v>
      </c>
      <c r="CB34" s="3">
        <f>ROUND(SUMIF(AA24:AA32,"=62803415",GN24:GN32),0)</f>
        <v>34537</v>
      </c>
      <c r="CC34" s="3">
        <f>ROUND(SUMIF(AA24:AA32,"=62803415",GO24:GO32),0)</f>
        <v>0</v>
      </c>
      <c r="CD34" s="3">
        <f>ROUND(SUMIF(AA24:AA32,"=62803415",GP24:GP32),0)</f>
        <v>0</v>
      </c>
      <c r="CE34" s="3">
        <f>AC34-BX34</f>
        <v>0</v>
      </c>
      <c r="CF34" s="3">
        <f>AC34-BY34</f>
        <v>0</v>
      </c>
      <c r="CG34" s="3">
        <f>BX34-BZ34</f>
        <v>0</v>
      </c>
      <c r="CH34" s="3">
        <f>AC34-BX34-BY34+BZ34</f>
        <v>0</v>
      </c>
      <c r="CI34" s="3">
        <f>BY34-BZ34</f>
        <v>0</v>
      </c>
      <c r="CJ34" s="3">
        <f>ROUND(SUMIF(AA24:AA32,"=62803415",GX24:GX32),0)</f>
        <v>0</v>
      </c>
      <c r="CK34" s="3">
        <f>ROUND(SUMIF(AA24:AA32,"=62803415",GY24:GY32),0)</f>
        <v>0</v>
      </c>
      <c r="CL34" s="3">
        <f>ROUND(SUMIF(AA24:AA32,"=62803415",GZ24:GZ32),0)</f>
        <v>0</v>
      </c>
      <c r="CM34" s="3">
        <f>ROUND(SUMIF(AA24:AA32,"=62803415",HD24:HD32),0)</f>
        <v>16406</v>
      </c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4">
        <f t="shared" ref="DG34:DL34" si="45">ROUND(DT34,0)</f>
        <v>244662</v>
      </c>
      <c r="DH34" s="4">
        <f t="shared" si="45"/>
        <v>0</v>
      </c>
      <c r="DI34" s="4">
        <f t="shared" si="45"/>
        <v>189207</v>
      </c>
      <c r="DJ34" s="4">
        <f t="shared" si="45"/>
        <v>23899</v>
      </c>
      <c r="DK34" s="4">
        <f t="shared" si="45"/>
        <v>55455</v>
      </c>
      <c r="DL34" s="4">
        <f t="shared" si="45"/>
        <v>0</v>
      </c>
      <c r="DM34" s="4">
        <f>DZ34</f>
        <v>278.18263499999995</v>
      </c>
      <c r="DN34" s="4">
        <f>EA34</f>
        <v>95.796950999999993</v>
      </c>
      <c r="DO34" s="4">
        <f>ROUND(EB34,0)</f>
        <v>0</v>
      </c>
      <c r="DP34" s="4">
        <f>ROUND(EC34,0)</f>
        <v>63981</v>
      </c>
      <c r="DQ34" s="4">
        <f>ROUND(ED34,0)</f>
        <v>31466</v>
      </c>
      <c r="DR34" s="4"/>
      <c r="DS34" s="4"/>
      <c r="DT34" s="4">
        <f>ROUND(SUMIF(AA24:AA32,"=62803416",O24:O32),0)</f>
        <v>244662</v>
      </c>
      <c r="DU34" s="4">
        <f>ROUND(SUMIF(AA24:AA32,"=62803416",P24:P32),0)</f>
        <v>0</v>
      </c>
      <c r="DV34" s="4">
        <f>ROUND(SUMIF(AA24:AA32,"=62803416",Q24:Q32),0)</f>
        <v>189207</v>
      </c>
      <c r="DW34" s="4">
        <f>ROUND(SUMIF(AA24:AA32,"=62803416",R24:R32),0)</f>
        <v>23899</v>
      </c>
      <c r="DX34" s="4">
        <f>ROUND(SUMIF(AA24:AA32,"=62803416",S24:S32),0)</f>
        <v>55455</v>
      </c>
      <c r="DY34" s="4">
        <f>ROUND(SUMIF(AA24:AA32,"=62803416",T24:T32),0)</f>
        <v>0</v>
      </c>
      <c r="DZ34" s="4">
        <f>SUMIF(AA24:AA32,"=62803416",U24:U32)</f>
        <v>278.18263499999995</v>
      </c>
      <c r="EA34" s="4">
        <f>SUMIF(AA24:AA32,"=62803416",V24:V32)</f>
        <v>95.796950999999993</v>
      </c>
      <c r="EB34" s="4">
        <f>ROUND(SUMIF(AA24:AA32,"=62803416",W24:W32),0)</f>
        <v>0</v>
      </c>
      <c r="EC34" s="4">
        <f>ROUND(SUMIF(AA24:AA32,"=62803416",X24:X32),0)</f>
        <v>63981</v>
      </c>
      <c r="ED34" s="4">
        <f>ROUND(SUMIF(AA24:AA32,"=62803416",Y24:Y32),0)</f>
        <v>31466</v>
      </c>
      <c r="EE34" s="4"/>
      <c r="EF34" s="4"/>
      <c r="EG34" s="4">
        <f t="shared" ref="EG34:EV34" si="46">ROUND(FP34,0)</f>
        <v>0</v>
      </c>
      <c r="EH34" s="4">
        <f t="shared" si="46"/>
        <v>0</v>
      </c>
      <c r="EI34" s="4">
        <f t="shared" si="46"/>
        <v>0</v>
      </c>
      <c r="EJ34" s="4">
        <f t="shared" si="46"/>
        <v>340109</v>
      </c>
      <c r="EK34" s="4">
        <f t="shared" si="46"/>
        <v>340109</v>
      </c>
      <c r="EL34" s="4">
        <f t="shared" si="46"/>
        <v>0</v>
      </c>
      <c r="EM34" s="4">
        <f t="shared" si="46"/>
        <v>0</v>
      </c>
      <c r="EN34" s="4">
        <f t="shared" si="46"/>
        <v>0</v>
      </c>
      <c r="EO34" s="4">
        <f t="shared" si="46"/>
        <v>0</v>
      </c>
      <c r="EP34" s="4">
        <f t="shared" si="46"/>
        <v>0</v>
      </c>
      <c r="EQ34" s="4">
        <f t="shared" si="46"/>
        <v>0</v>
      </c>
      <c r="ER34" s="4">
        <f t="shared" si="46"/>
        <v>0</v>
      </c>
      <c r="ES34" s="4">
        <f t="shared" si="46"/>
        <v>0</v>
      </c>
      <c r="ET34" s="4">
        <f t="shared" si="46"/>
        <v>0</v>
      </c>
      <c r="EU34" s="4">
        <f t="shared" si="46"/>
        <v>0</v>
      </c>
      <c r="EV34" s="4">
        <f t="shared" si="46"/>
        <v>116807</v>
      </c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>
        <f>ROUND(SUMIF(AA24:AA32,"=62803416",FQ24:FQ32),0)</f>
        <v>0</v>
      </c>
      <c r="FQ34" s="4">
        <f>ROUND(SUMIF(AA24:AA32,"=62803416",FR24:FR32),0)</f>
        <v>0</v>
      </c>
      <c r="FR34" s="4">
        <f>ROUND(SUMIF(AA24:AA32,"=62803416",GL24:GL32),0)</f>
        <v>0</v>
      </c>
      <c r="FS34" s="4">
        <f>ROUND(SUMIF(AA24:AA32,"=62803416",GM24:GM32),0)</f>
        <v>340109</v>
      </c>
      <c r="FT34" s="4">
        <f>ROUND(SUMIF(AA24:AA32,"=62803416",GN24:GN32),0)</f>
        <v>340109</v>
      </c>
      <c r="FU34" s="4">
        <f>ROUND(SUMIF(AA24:AA32,"=62803416",GO24:GO32),0)</f>
        <v>0</v>
      </c>
      <c r="FV34" s="4">
        <f>ROUND(SUMIF(AA24:AA32,"=62803416",GP24:GP32),0)</f>
        <v>0</v>
      </c>
      <c r="FW34" s="4">
        <f>DU34-FP34</f>
        <v>0</v>
      </c>
      <c r="FX34" s="4">
        <f>DU34-FQ34</f>
        <v>0</v>
      </c>
      <c r="FY34" s="4">
        <f>FP34-FR34</f>
        <v>0</v>
      </c>
      <c r="FZ34" s="4">
        <f>DU34-FP34-FQ34+FR34</f>
        <v>0</v>
      </c>
      <c r="GA34" s="4">
        <f>FQ34-FR34</f>
        <v>0</v>
      </c>
      <c r="GB34" s="4">
        <f>ROUND(SUMIF(AA24:AA32,"=62803416",GX24:GX32),0)</f>
        <v>0</v>
      </c>
      <c r="GC34" s="4">
        <f>ROUND(SUMIF(AA24:AA32,"=62803416",GY24:GY32),0)</f>
        <v>0</v>
      </c>
      <c r="GD34" s="4">
        <f>ROUND(SUMIF(AA24:AA32,"=62803416",GZ24:GZ32),0)</f>
        <v>0</v>
      </c>
      <c r="GE34" s="4">
        <f>ROUND(SUMIF(AA24:AA32,"=62803416",HD24:HD32),0)</f>
        <v>116807</v>
      </c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>
        <v>0</v>
      </c>
      <c r="IF34">
        <v>-1</v>
      </c>
    </row>
    <row r="35" spans="1:240" x14ac:dyDescent="0.2">
      <c r="IF35">
        <v>-1</v>
      </c>
    </row>
    <row r="36" spans="1:240" x14ac:dyDescent="0.2">
      <c r="A36" s="5">
        <v>50</v>
      </c>
      <c r="B36" s="5">
        <v>0</v>
      </c>
      <c r="C36" s="5">
        <v>0</v>
      </c>
      <c r="D36" s="5">
        <v>1</v>
      </c>
      <c r="E36" s="5">
        <v>201</v>
      </c>
      <c r="F36" s="5">
        <f>ROUND(Source!O34,O36)</f>
        <v>29890</v>
      </c>
      <c r="G36" s="5" t="s">
        <v>46</v>
      </c>
      <c r="H36" s="5" t="s">
        <v>47</v>
      </c>
      <c r="I36" s="5"/>
      <c r="J36" s="5"/>
      <c r="K36" s="5">
        <v>201</v>
      </c>
      <c r="L36" s="5">
        <v>1</v>
      </c>
      <c r="M36" s="5">
        <v>3</v>
      </c>
      <c r="N36" s="5" t="s">
        <v>6</v>
      </c>
      <c r="O36" s="5">
        <v>0</v>
      </c>
      <c r="P36" s="5">
        <f>ROUND(Source!DG34,O36)</f>
        <v>244662</v>
      </c>
      <c r="Q36" s="5"/>
      <c r="R36" s="5"/>
      <c r="S36" s="5"/>
      <c r="T36" s="5"/>
      <c r="U36" s="5"/>
      <c r="V36" s="5"/>
      <c r="W36" s="5">
        <v>29890</v>
      </c>
      <c r="X36" s="5">
        <v>1</v>
      </c>
      <c r="Y36" s="5">
        <v>29890</v>
      </c>
      <c r="Z36" s="5">
        <v>244662</v>
      </c>
      <c r="AA36" s="5">
        <v>1</v>
      </c>
      <c r="AB36" s="5">
        <v>244662</v>
      </c>
      <c r="IF36">
        <v>-1</v>
      </c>
    </row>
    <row r="37" spans="1:240" x14ac:dyDescent="0.2">
      <c r="A37" s="5">
        <v>50</v>
      </c>
      <c r="B37" s="5">
        <v>0</v>
      </c>
      <c r="C37" s="5">
        <v>0</v>
      </c>
      <c r="D37" s="5">
        <v>1</v>
      </c>
      <c r="E37" s="5">
        <v>202</v>
      </c>
      <c r="F37" s="5">
        <f>ROUND(Source!P34,O37)</f>
        <v>0</v>
      </c>
      <c r="G37" s="5" t="s">
        <v>48</v>
      </c>
      <c r="H37" s="5" t="s">
        <v>49</v>
      </c>
      <c r="I37" s="5"/>
      <c r="J37" s="5"/>
      <c r="K37" s="5">
        <v>202</v>
      </c>
      <c r="L37" s="5">
        <v>2</v>
      </c>
      <c r="M37" s="5">
        <v>3</v>
      </c>
      <c r="N37" s="5" t="s">
        <v>6</v>
      </c>
      <c r="O37" s="5">
        <v>0</v>
      </c>
      <c r="P37" s="5">
        <f>ROUND(Source!DH34,O37)</f>
        <v>0</v>
      </c>
      <c r="Q37" s="5"/>
      <c r="R37" s="5"/>
      <c r="S37" s="5"/>
      <c r="T37" s="5"/>
      <c r="U37" s="5"/>
      <c r="V37" s="5"/>
      <c r="W37" s="5">
        <v>0</v>
      </c>
      <c r="X37" s="5">
        <v>1</v>
      </c>
      <c r="Y37" s="5">
        <v>0</v>
      </c>
      <c r="Z37" s="5">
        <v>0</v>
      </c>
      <c r="AA37" s="5">
        <v>1</v>
      </c>
      <c r="AB37" s="5">
        <v>0</v>
      </c>
      <c r="IF37">
        <v>-1</v>
      </c>
    </row>
    <row r="38" spans="1:240" x14ac:dyDescent="0.2">
      <c r="A38" s="5">
        <v>50</v>
      </c>
      <c r="B38" s="5">
        <v>0</v>
      </c>
      <c r="C38" s="5">
        <v>0</v>
      </c>
      <c r="D38" s="5">
        <v>1</v>
      </c>
      <c r="E38" s="5">
        <v>222</v>
      </c>
      <c r="F38" s="5">
        <f>ROUND(Source!AO34,O38)</f>
        <v>0</v>
      </c>
      <c r="G38" s="5" t="s">
        <v>50</v>
      </c>
      <c r="H38" s="5" t="s">
        <v>51</v>
      </c>
      <c r="I38" s="5"/>
      <c r="J38" s="5"/>
      <c r="K38" s="5">
        <v>222</v>
      </c>
      <c r="L38" s="5">
        <v>3</v>
      </c>
      <c r="M38" s="5">
        <v>3</v>
      </c>
      <c r="N38" s="5" t="s">
        <v>6</v>
      </c>
      <c r="O38" s="5">
        <v>0</v>
      </c>
      <c r="P38" s="5">
        <f>ROUND(Source!EG34,O38)</f>
        <v>0</v>
      </c>
      <c r="Q38" s="5"/>
      <c r="R38" s="5"/>
      <c r="S38" s="5"/>
      <c r="T38" s="5"/>
      <c r="U38" s="5"/>
      <c r="V38" s="5"/>
      <c r="W38" s="5">
        <v>0</v>
      </c>
      <c r="X38" s="5">
        <v>1</v>
      </c>
      <c r="Y38" s="5">
        <v>0</v>
      </c>
      <c r="Z38" s="5">
        <v>0</v>
      </c>
      <c r="AA38" s="5">
        <v>1</v>
      </c>
      <c r="AB38" s="5">
        <v>0</v>
      </c>
      <c r="IF38">
        <v>-1</v>
      </c>
    </row>
    <row r="39" spans="1:240" x14ac:dyDescent="0.2">
      <c r="A39" s="5">
        <v>50</v>
      </c>
      <c r="B39" s="5">
        <v>0</v>
      </c>
      <c r="C39" s="5">
        <v>0</v>
      </c>
      <c r="D39" s="5">
        <v>1</v>
      </c>
      <c r="E39" s="5">
        <v>225</v>
      </c>
      <c r="F39" s="5">
        <f>ROUND(Source!AV34,O39)</f>
        <v>0</v>
      </c>
      <c r="G39" s="5" t="s">
        <v>52</v>
      </c>
      <c r="H39" s="5" t="s">
        <v>53</v>
      </c>
      <c r="I39" s="5"/>
      <c r="J39" s="5"/>
      <c r="K39" s="5">
        <v>225</v>
      </c>
      <c r="L39" s="5">
        <v>4</v>
      </c>
      <c r="M39" s="5">
        <v>3</v>
      </c>
      <c r="N39" s="5" t="s">
        <v>6</v>
      </c>
      <c r="O39" s="5">
        <v>0</v>
      </c>
      <c r="P39" s="5">
        <f>ROUND(Source!EN34,O39)</f>
        <v>0</v>
      </c>
      <c r="Q39" s="5"/>
      <c r="R39" s="5"/>
      <c r="S39" s="5"/>
      <c r="T39" s="5"/>
      <c r="U39" s="5"/>
      <c r="V39" s="5"/>
      <c r="W39" s="5">
        <v>0</v>
      </c>
      <c r="X39" s="5">
        <v>1</v>
      </c>
      <c r="Y39" s="5">
        <v>0</v>
      </c>
      <c r="Z39" s="5">
        <v>0</v>
      </c>
      <c r="AA39" s="5">
        <v>1</v>
      </c>
      <c r="AB39" s="5">
        <v>0</v>
      </c>
      <c r="IF39">
        <v>-1</v>
      </c>
    </row>
    <row r="40" spans="1:240" x14ac:dyDescent="0.2">
      <c r="A40" s="5">
        <v>50</v>
      </c>
      <c r="B40" s="5">
        <v>0</v>
      </c>
      <c r="C40" s="5">
        <v>0</v>
      </c>
      <c r="D40" s="5">
        <v>1</v>
      </c>
      <c r="E40" s="5">
        <v>226</v>
      </c>
      <c r="F40" s="5">
        <f>ROUND(Source!AW34,O40)</f>
        <v>0</v>
      </c>
      <c r="G40" s="5" t="s">
        <v>54</v>
      </c>
      <c r="H40" s="5" t="s">
        <v>55</v>
      </c>
      <c r="I40" s="5"/>
      <c r="J40" s="5"/>
      <c r="K40" s="5">
        <v>226</v>
      </c>
      <c r="L40" s="5">
        <v>5</v>
      </c>
      <c r="M40" s="5">
        <v>3</v>
      </c>
      <c r="N40" s="5" t="s">
        <v>6</v>
      </c>
      <c r="O40" s="5">
        <v>0</v>
      </c>
      <c r="P40" s="5">
        <f>ROUND(Source!EO34,O40)</f>
        <v>0</v>
      </c>
      <c r="Q40" s="5"/>
      <c r="R40" s="5"/>
      <c r="S40" s="5"/>
      <c r="T40" s="5"/>
      <c r="U40" s="5"/>
      <c r="V40" s="5"/>
      <c r="W40" s="5">
        <v>0</v>
      </c>
      <c r="X40" s="5">
        <v>1</v>
      </c>
      <c r="Y40" s="5">
        <v>0</v>
      </c>
      <c r="Z40" s="5">
        <v>0</v>
      </c>
      <c r="AA40" s="5">
        <v>1</v>
      </c>
      <c r="AB40" s="5">
        <v>0</v>
      </c>
      <c r="IF40">
        <v>-1</v>
      </c>
    </row>
    <row r="41" spans="1:240" x14ac:dyDescent="0.2">
      <c r="A41" s="5">
        <v>50</v>
      </c>
      <c r="B41" s="5">
        <v>0</v>
      </c>
      <c r="C41" s="5">
        <v>0</v>
      </c>
      <c r="D41" s="5">
        <v>1</v>
      </c>
      <c r="E41" s="5">
        <v>227</v>
      </c>
      <c r="F41" s="5">
        <f>ROUND(Source!AX34,O41)</f>
        <v>0</v>
      </c>
      <c r="G41" s="5" t="s">
        <v>56</v>
      </c>
      <c r="H41" s="5" t="s">
        <v>57</v>
      </c>
      <c r="I41" s="5"/>
      <c r="J41" s="5"/>
      <c r="K41" s="5">
        <v>227</v>
      </c>
      <c r="L41" s="5">
        <v>6</v>
      </c>
      <c r="M41" s="5">
        <v>3</v>
      </c>
      <c r="N41" s="5" t="s">
        <v>6</v>
      </c>
      <c r="O41" s="5">
        <v>0</v>
      </c>
      <c r="P41" s="5">
        <f>ROUND(Source!EP34,O41)</f>
        <v>0</v>
      </c>
      <c r="Q41" s="5"/>
      <c r="R41" s="5"/>
      <c r="S41" s="5"/>
      <c r="T41" s="5"/>
      <c r="U41" s="5"/>
      <c r="V41" s="5"/>
      <c r="W41" s="5">
        <v>0</v>
      </c>
      <c r="X41" s="5">
        <v>1</v>
      </c>
      <c r="Y41" s="5">
        <v>0</v>
      </c>
      <c r="Z41" s="5">
        <v>0</v>
      </c>
      <c r="AA41" s="5">
        <v>1</v>
      </c>
      <c r="AB41" s="5">
        <v>0</v>
      </c>
      <c r="IF41">
        <v>-1</v>
      </c>
    </row>
    <row r="42" spans="1:240" x14ac:dyDescent="0.2">
      <c r="A42" s="5">
        <v>50</v>
      </c>
      <c r="B42" s="5">
        <v>0</v>
      </c>
      <c r="C42" s="5">
        <v>0</v>
      </c>
      <c r="D42" s="5">
        <v>1</v>
      </c>
      <c r="E42" s="5">
        <v>228</v>
      </c>
      <c r="F42" s="5">
        <f>ROUND(Source!AY34,O42)</f>
        <v>0</v>
      </c>
      <c r="G42" s="5" t="s">
        <v>58</v>
      </c>
      <c r="H42" s="5" t="s">
        <v>59</v>
      </c>
      <c r="I42" s="5"/>
      <c r="J42" s="5"/>
      <c r="K42" s="5">
        <v>228</v>
      </c>
      <c r="L42" s="5">
        <v>7</v>
      </c>
      <c r="M42" s="5">
        <v>3</v>
      </c>
      <c r="N42" s="5" t="s">
        <v>6</v>
      </c>
      <c r="O42" s="5">
        <v>0</v>
      </c>
      <c r="P42" s="5">
        <f>ROUND(Source!EQ34,O42)</f>
        <v>0</v>
      </c>
      <c r="Q42" s="5"/>
      <c r="R42" s="5"/>
      <c r="S42" s="5"/>
      <c r="T42" s="5"/>
      <c r="U42" s="5"/>
      <c r="V42" s="5"/>
      <c r="W42" s="5">
        <v>0</v>
      </c>
      <c r="X42" s="5">
        <v>1</v>
      </c>
      <c r="Y42" s="5">
        <v>0</v>
      </c>
      <c r="Z42" s="5">
        <v>0</v>
      </c>
      <c r="AA42" s="5">
        <v>1</v>
      </c>
      <c r="AB42" s="5">
        <v>0</v>
      </c>
      <c r="IF42">
        <v>-1</v>
      </c>
    </row>
    <row r="43" spans="1:240" x14ac:dyDescent="0.2">
      <c r="A43" s="5">
        <v>50</v>
      </c>
      <c r="B43" s="5">
        <v>0</v>
      </c>
      <c r="C43" s="5">
        <v>0</v>
      </c>
      <c r="D43" s="5">
        <v>1</v>
      </c>
      <c r="E43" s="5">
        <v>216</v>
      </c>
      <c r="F43" s="5">
        <f>ROUND(Source!AP34,O43)</f>
        <v>0</v>
      </c>
      <c r="G43" s="5" t="s">
        <v>60</v>
      </c>
      <c r="H43" s="5" t="s">
        <v>61</v>
      </c>
      <c r="I43" s="5"/>
      <c r="J43" s="5"/>
      <c r="K43" s="5">
        <v>216</v>
      </c>
      <c r="L43" s="5">
        <v>8</v>
      </c>
      <c r="M43" s="5">
        <v>3</v>
      </c>
      <c r="N43" s="5" t="s">
        <v>6</v>
      </c>
      <c r="O43" s="5">
        <v>0</v>
      </c>
      <c r="P43" s="5">
        <f>ROUND(Source!EH34,O43)</f>
        <v>0</v>
      </c>
      <c r="Q43" s="5"/>
      <c r="R43" s="5"/>
      <c r="S43" s="5"/>
      <c r="T43" s="5"/>
      <c r="U43" s="5"/>
      <c r="V43" s="5"/>
      <c r="W43" s="5">
        <v>0</v>
      </c>
      <c r="X43" s="5">
        <v>1</v>
      </c>
      <c r="Y43" s="5">
        <v>0</v>
      </c>
      <c r="Z43" s="5">
        <v>0</v>
      </c>
      <c r="AA43" s="5">
        <v>1</v>
      </c>
      <c r="AB43" s="5">
        <v>0</v>
      </c>
      <c r="IF43">
        <v>-1</v>
      </c>
    </row>
    <row r="44" spans="1:240" x14ac:dyDescent="0.2">
      <c r="A44" s="5">
        <v>50</v>
      </c>
      <c r="B44" s="5">
        <v>0</v>
      </c>
      <c r="C44" s="5">
        <v>0</v>
      </c>
      <c r="D44" s="5">
        <v>1</v>
      </c>
      <c r="E44" s="5">
        <v>223</v>
      </c>
      <c r="F44" s="5">
        <f>ROUND(Source!AQ34,O44)</f>
        <v>0</v>
      </c>
      <c r="G44" s="5" t="s">
        <v>62</v>
      </c>
      <c r="H44" s="5" t="s">
        <v>63</v>
      </c>
      <c r="I44" s="5"/>
      <c r="J44" s="5"/>
      <c r="K44" s="5">
        <v>223</v>
      </c>
      <c r="L44" s="5">
        <v>9</v>
      </c>
      <c r="M44" s="5">
        <v>3</v>
      </c>
      <c r="N44" s="5" t="s">
        <v>6</v>
      </c>
      <c r="O44" s="5">
        <v>0</v>
      </c>
      <c r="P44" s="5">
        <f>ROUND(Source!EI34,O44)</f>
        <v>0</v>
      </c>
      <c r="Q44" s="5"/>
      <c r="R44" s="5"/>
      <c r="S44" s="5"/>
      <c r="T44" s="5"/>
      <c r="U44" s="5"/>
      <c r="V44" s="5"/>
      <c r="W44" s="5">
        <v>0</v>
      </c>
      <c r="X44" s="5">
        <v>1</v>
      </c>
      <c r="Y44" s="5">
        <v>0</v>
      </c>
      <c r="Z44" s="5">
        <v>0</v>
      </c>
      <c r="AA44" s="5">
        <v>1</v>
      </c>
      <c r="AB44" s="5">
        <v>0</v>
      </c>
      <c r="IF44">
        <v>-1</v>
      </c>
    </row>
    <row r="45" spans="1:240" x14ac:dyDescent="0.2">
      <c r="A45" s="5">
        <v>50</v>
      </c>
      <c r="B45" s="5">
        <v>0</v>
      </c>
      <c r="C45" s="5">
        <v>0</v>
      </c>
      <c r="D45" s="5">
        <v>1</v>
      </c>
      <c r="E45" s="5">
        <v>229</v>
      </c>
      <c r="F45" s="5">
        <f>ROUND(Source!AZ34,O45)</f>
        <v>0</v>
      </c>
      <c r="G45" s="5" t="s">
        <v>64</v>
      </c>
      <c r="H45" s="5" t="s">
        <v>65</v>
      </c>
      <c r="I45" s="5"/>
      <c r="J45" s="5"/>
      <c r="K45" s="5">
        <v>229</v>
      </c>
      <c r="L45" s="5">
        <v>10</v>
      </c>
      <c r="M45" s="5">
        <v>3</v>
      </c>
      <c r="N45" s="5" t="s">
        <v>6</v>
      </c>
      <c r="O45" s="5">
        <v>0</v>
      </c>
      <c r="P45" s="5">
        <f>ROUND(Source!ER34,O45)</f>
        <v>0</v>
      </c>
      <c r="Q45" s="5"/>
      <c r="R45" s="5"/>
      <c r="S45" s="5"/>
      <c r="T45" s="5"/>
      <c r="U45" s="5"/>
      <c r="V45" s="5"/>
      <c r="W45" s="5">
        <v>0</v>
      </c>
      <c r="X45" s="5">
        <v>1</v>
      </c>
      <c r="Y45" s="5">
        <v>0</v>
      </c>
      <c r="Z45" s="5">
        <v>0</v>
      </c>
      <c r="AA45" s="5">
        <v>1</v>
      </c>
      <c r="AB45" s="5">
        <v>0</v>
      </c>
      <c r="IF45">
        <v>-1</v>
      </c>
    </row>
    <row r="46" spans="1:240" x14ac:dyDescent="0.2">
      <c r="A46" s="5">
        <v>50</v>
      </c>
      <c r="B46" s="5">
        <v>0</v>
      </c>
      <c r="C46" s="5">
        <v>0</v>
      </c>
      <c r="D46" s="5">
        <v>1</v>
      </c>
      <c r="E46" s="5">
        <v>203</v>
      </c>
      <c r="F46" s="5">
        <f>ROUND(Source!Q34,O46)</f>
        <v>27701</v>
      </c>
      <c r="G46" s="5" t="s">
        <v>66</v>
      </c>
      <c r="H46" s="5" t="s">
        <v>67</v>
      </c>
      <c r="I46" s="5"/>
      <c r="J46" s="5"/>
      <c r="K46" s="5">
        <v>203</v>
      </c>
      <c r="L46" s="5">
        <v>11</v>
      </c>
      <c r="M46" s="5">
        <v>3</v>
      </c>
      <c r="N46" s="5" t="s">
        <v>6</v>
      </c>
      <c r="O46" s="5">
        <v>0</v>
      </c>
      <c r="P46" s="5">
        <f>ROUND(Source!DI34,O46)</f>
        <v>189207</v>
      </c>
      <c r="Q46" s="5"/>
      <c r="R46" s="5"/>
      <c r="S46" s="5"/>
      <c r="T46" s="5"/>
      <c r="U46" s="5"/>
      <c r="V46" s="5"/>
      <c r="W46" s="5">
        <v>27701</v>
      </c>
      <c r="X46" s="5">
        <v>1</v>
      </c>
      <c r="Y46" s="5">
        <v>27701</v>
      </c>
      <c r="Z46" s="5">
        <v>189207</v>
      </c>
      <c r="AA46" s="5">
        <v>1</v>
      </c>
      <c r="AB46" s="5">
        <v>189207</v>
      </c>
      <c r="IF46">
        <v>-1</v>
      </c>
    </row>
    <row r="47" spans="1:240" x14ac:dyDescent="0.2">
      <c r="A47" s="5">
        <v>50</v>
      </c>
      <c r="B47" s="5">
        <v>0</v>
      </c>
      <c r="C47" s="5">
        <v>0</v>
      </c>
      <c r="D47" s="5">
        <v>1</v>
      </c>
      <c r="E47" s="5">
        <v>231</v>
      </c>
      <c r="F47" s="5">
        <f>ROUND(Source!BB34,O47)</f>
        <v>0</v>
      </c>
      <c r="G47" s="5" t="s">
        <v>68</v>
      </c>
      <c r="H47" s="5" t="s">
        <v>69</v>
      </c>
      <c r="I47" s="5"/>
      <c r="J47" s="5"/>
      <c r="K47" s="5">
        <v>231</v>
      </c>
      <c r="L47" s="5">
        <v>12</v>
      </c>
      <c r="M47" s="5">
        <v>3</v>
      </c>
      <c r="N47" s="5" t="s">
        <v>6</v>
      </c>
      <c r="O47" s="5">
        <v>0</v>
      </c>
      <c r="P47" s="5">
        <f>ROUND(Source!ET34,O47)</f>
        <v>0</v>
      </c>
      <c r="Q47" s="5"/>
      <c r="R47" s="5"/>
      <c r="S47" s="5"/>
      <c r="T47" s="5"/>
      <c r="U47" s="5"/>
      <c r="V47" s="5"/>
      <c r="W47" s="5">
        <v>0</v>
      </c>
      <c r="X47" s="5">
        <v>1</v>
      </c>
      <c r="Y47" s="5">
        <v>0</v>
      </c>
      <c r="Z47" s="5">
        <v>0</v>
      </c>
      <c r="AA47" s="5">
        <v>1</v>
      </c>
      <c r="AB47" s="5">
        <v>0</v>
      </c>
      <c r="IF47">
        <v>-1</v>
      </c>
    </row>
    <row r="48" spans="1:240" x14ac:dyDescent="0.2">
      <c r="A48" s="5">
        <v>50</v>
      </c>
      <c r="B48" s="5">
        <v>0</v>
      </c>
      <c r="C48" s="5">
        <v>0</v>
      </c>
      <c r="D48" s="5">
        <v>1</v>
      </c>
      <c r="E48" s="5">
        <v>204</v>
      </c>
      <c r="F48" s="5">
        <f>ROUND(Source!R34,O48)</f>
        <v>1304</v>
      </c>
      <c r="G48" s="5" t="s">
        <v>70</v>
      </c>
      <c r="H48" s="5" t="s">
        <v>71</v>
      </c>
      <c r="I48" s="5"/>
      <c r="J48" s="5"/>
      <c r="K48" s="5">
        <v>204</v>
      </c>
      <c r="L48" s="5">
        <v>13</v>
      </c>
      <c r="M48" s="5">
        <v>3</v>
      </c>
      <c r="N48" s="5" t="s">
        <v>6</v>
      </c>
      <c r="O48" s="5">
        <v>0</v>
      </c>
      <c r="P48" s="5">
        <f>ROUND(Source!DJ34,O48)</f>
        <v>23899</v>
      </c>
      <c r="Q48" s="5"/>
      <c r="R48" s="5"/>
      <c r="S48" s="5"/>
      <c r="T48" s="5"/>
      <c r="U48" s="5"/>
      <c r="V48" s="5"/>
      <c r="W48" s="5">
        <v>1304</v>
      </c>
      <c r="X48" s="5">
        <v>1</v>
      </c>
      <c r="Y48" s="5">
        <v>1304</v>
      </c>
      <c r="Z48" s="5">
        <v>23899</v>
      </c>
      <c r="AA48" s="5">
        <v>1</v>
      </c>
      <c r="AB48" s="5">
        <v>23899</v>
      </c>
      <c r="IF48">
        <v>-1</v>
      </c>
    </row>
    <row r="49" spans="1:240" x14ac:dyDescent="0.2">
      <c r="A49" s="5">
        <v>50</v>
      </c>
      <c r="B49" s="5">
        <v>0</v>
      </c>
      <c r="C49" s="5">
        <v>0</v>
      </c>
      <c r="D49" s="5">
        <v>1</v>
      </c>
      <c r="E49" s="5">
        <v>205</v>
      </c>
      <c r="F49" s="5">
        <f>ROUND(Source!S34,O49)</f>
        <v>2189</v>
      </c>
      <c r="G49" s="5" t="s">
        <v>72</v>
      </c>
      <c r="H49" s="5" t="s">
        <v>73</v>
      </c>
      <c r="I49" s="5"/>
      <c r="J49" s="5"/>
      <c r="K49" s="5">
        <v>205</v>
      </c>
      <c r="L49" s="5">
        <v>14</v>
      </c>
      <c r="M49" s="5">
        <v>3</v>
      </c>
      <c r="N49" s="5" t="s">
        <v>6</v>
      </c>
      <c r="O49" s="5">
        <v>0</v>
      </c>
      <c r="P49" s="5">
        <f>ROUND(Source!DK34,O49)</f>
        <v>55455</v>
      </c>
      <c r="Q49" s="5"/>
      <c r="R49" s="5"/>
      <c r="S49" s="5"/>
      <c r="T49" s="5"/>
      <c r="U49" s="5"/>
      <c r="V49" s="5"/>
      <c r="W49" s="5">
        <v>2189</v>
      </c>
      <c r="X49" s="5">
        <v>1</v>
      </c>
      <c r="Y49" s="5">
        <v>2189</v>
      </c>
      <c r="Z49" s="5">
        <v>55455</v>
      </c>
      <c r="AA49" s="5">
        <v>1</v>
      </c>
      <c r="AB49" s="5">
        <v>55455</v>
      </c>
      <c r="IF49">
        <v>-1</v>
      </c>
    </row>
    <row r="50" spans="1:240" x14ac:dyDescent="0.2">
      <c r="A50" s="5">
        <v>50</v>
      </c>
      <c r="B50" s="5">
        <v>0</v>
      </c>
      <c r="C50" s="5">
        <v>0</v>
      </c>
      <c r="D50" s="5">
        <v>1</v>
      </c>
      <c r="E50" s="5">
        <v>232</v>
      </c>
      <c r="F50" s="5">
        <f>ROUND(Source!BC34,O50)</f>
        <v>0</v>
      </c>
      <c r="G50" s="5" t="s">
        <v>74</v>
      </c>
      <c r="H50" s="5" t="s">
        <v>75</v>
      </c>
      <c r="I50" s="5"/>
      <c r="J50" s="5"/>
      <c r="K50" s="5">
        <v>232</v>
      </c>
      <c r="L50" s="5">
        <v>15</v>
      </c>
      <c r="M50" s="5">
        <v>3</v>
      </c>
      <c r="N50" s="5" t="s">
        <v>6</v>
      </c>
      <c r="O50" s="5">
        <v>0</v>
      </c>
      <c r="P50" s="5">
        <f>ROUND(Source!EU34,O50)</f>
        <v>0</v>
      </c>
      <c r="Q50" s="5"/>
      <c r="R50" s="5"/>
      <c r="S50" s="5"/>
      <c r="T50" s="5"/>
      <c r="U50" s="5"/>
      <c r="V50" s="5"/>
      <c r="W50" s="5">
        <v>0</v>
      </c>
      <c r="X50" s="5">
        <v>1</v>
      </c>
      <c r="Y50" s="5">
        <v>0</v>
      </c>
      <c r="Z50" s="5">
        <v>0</v>
      </c>
      <c r="AA50" s="5">
        <v>1</v>
      </c>
      <c r="AB50" s="5">
        <v>0</v>
      </c>
      <c r="IF50">
        <v>-1</v>
      </c>
    </row>
    <row r="51" spans="1:240" x14ac:dyDescent="0.2">
      <c r="A51" s="5">
        <v>50</v>
      </c>
      <c r="B51" s="5">
        <v>0</v>
      </c>
      <c r="C51" s="5">
        <v>0</v>
      </c>
      <c r="D51" s="5">
        <v>1</v>
      </c>
      <c r="E51" s="5">
        <v>214</v>
      </c>
      <c r="F51" s="5">
        <f>ROUND(Source!AS34,O51)</f>
        <v>34537</v>
      </c>
      <c r="G51" s="5" t="s">
        <v>76</v>
      </c>
      <c r="H51" s="5" t="s">
        <v>77</v>
      </c>
      <c r="I51" s="5"/>
      <c r="J51" s="5"/>
      <c r="K51" s="5">
        <v>214</v>
      </c>
      <c r="L51" s="5">
        <v>16</v>
      </c>
      <c r="M51" s="5">
        <v>3</v>
      </c>
      <c r="N51" s="5" t="s">
        <v>6</v>
      </c>
      <c r="O51" s="5">
        <v>0</v>
      </c>
      <c r="P51" s="5">
        <f>ROUND(Source!EK34,O51)</f>
        <v>340109</v>
      </c>
      <c r="Q51" s="5"/>
      <c r="R51" s="5"/>
      <c r="S51" s="5"/>
      <c r="T51" s="5"/>
      <c r="U51" s="5"/>
      <c r="V51" s="5"/>
      <c r="W51" s="5">
        <v>34537</v>
      </c>
      <c r="X51" s="5">
        <v>1</v>
      </c>
      <c r="Y51" s="5">
        <v>34537</v>
      </c>
      <c r="Z51" s="5">
        <v>340109</v>
      </c>
      <c r="AA51" s="5">
        <v>1</v>
      </c>
      <c r="AB51" s="5">
        <v>340109</v>
      </c>
      <c r="IF51">
        <v>-1</v>
      </c>
    </row>
    <row r="52" spans="1:240" x14ac:dyDescent="0.2">
      <c r="A52" s="5">
        <v>50</v>
      </c>
      <c r="B52" s="5">
        <v>0</v>
      </c>
      <c r="C52" s="5">
        <v>0</v>
      </c>
      <c r="D52" s="5">
        <v>1</v>
      </c>
      <c r="E52" s="5">
        <v>215</v>
      </c>
      <c r="F52" s="5">
        <f>ROUND(Source!AT34,O52)</f>
        <v>0</v>
      </c>
      <c r="G52" s="5" t="s">
        <v>78</v>
      </c>
      <c r="H52" s="5" t="s">
        <v>79</v>
      </c>
      <c r="I52" s="5"/>
      <c r="J52" s="5"/>
      <c r="K52" s="5">
        <v>215</v>
      </c>
      <c r="L52" s="5">
        <v>17</v>
      </c>
      <c r="M52" s="5">
        <v>3</v>
      </c>
      <c r="N52" s="5" t="s">
        <v>6</v>
      </c>
      <c r="O52" s="5">
        <v>0</v>
      </c>
      <c r="P52" s="5">
        <f>ROUND(Source!EL34,O52)</f>
        <v>0</v>
      </c>
      <c r="Q52" s="5"/>
      <c r="R52" s="5"/>
      <c r="S52" s="5"/>
      <c r="T52" s="5"/>
      <c r="U52" s="5"/>
      <c r="V52" s="5"/>
      <c r="W52" s="5">
        <v>0</v>
      </c>
      <c r="X52" s="5">
        <v>1</v>
      </c>
      <c r="Y52" s="5">
        <v>0</v>
      </c>
      <c r="Z52" s="5">
        <v>0</v>
      </c>
      <c r="AA52" s="5">
        <v>1</v>
      </c>
      <c r="AB52" s="5">
        <v>0</v>
      </c>
      <c r="IF52">
        <v>-1</v>
      </c>
    </row>
    <row r="53" spans="1:240" x14ac:dyDescent="0.2">
      <c r="A53" s="5">
        <v>50</v>
      </c>
      <c r="B53" s="5">
        <v>0</v>
      </c>
      <c r="C53" s="5">
        <v>0</v>
      </c>
      <c r="D53" s="5">
        <v>1</v>
      </c>
      <c r="E53" s="5">
        <v>217</v>
      </c>
      <c r="F53" s="5">
        <f>ROUND(Source!AU34,O53)</f>
        <v>0</v>
      </c>
      <c r="G53" s="5" t="s">
        <v>80</v>
      </c>
      <c r="H53" s="5" t="s">
        <v>81</v>
      </c>
      <c r="I53" s="5"/>
      <c r="J53" s="5"/>
      <c r="K53" s="5">
        <v>217</v>
      </c>
      <c r="L53" s="5">
        <v>18</v>
      </c>
      <c r="M53" s="5">
        <v>3</v>
      </c>
      <c r="N53" s="5" t="s">
        <v>6</v>
      </c>
      <c r="O53" s="5">
        <v>0</v>
      </c>
      <c r="P53" s="5">
        <f>ROUND(Source!EM34,O53)</f>
        <v>0</v>
      </c>
      <c r="Q53" s="5"/>
      <c r="R53" s="5"/>
      <c r="S53" s="5"/>
      <c r="T53" s="5"/>
      <c r="U53" s="5"/>
      <c r="V53" s="5"/>
      <c r="W53" s="5">
        <v>0</v>
      </c>
      <c r="X53" s="5">
        <v>1</v>
      </c>
      <c r="Y53" s="5">
        <v>0</v>
      </c>
      <c r="Z53" s="5">
        <v>0</v>
      </c>
      <c r="AA53" s="5">
        <v>1</v>
      </c>
      <c r="AB53" s="5">
        <v>0</v>
      </c>
      <c r="IF53">
        <v>-1</v>
      </c>
    </row>
    <row r="54" spans="1:240" x14ac:dyDescent="0.2">
      <c r="A54" s="5">
        <v>50</v>
      </c>
      <c r="B54" s="5">
        <v>0</v>
      </c>
      <c r="C54" s="5">
        <v>0</v>
      </c>
      <c r="D54" s="5">
        <v>1</v>
      </c>
      <c r="E54" s="5">
        <v>230</v>
      </c>
      <c r="F54" s="5">
        <f>ROUND(Source!BA34,O54)</f>
        <v>0</v>
      </c>
      <c r="G54" s="5" t="s">
        <v>82</v>
      </c>
      <c r="H54" s="5" t="s">
        <v>83</v>
      </c>
      <c r="I54" s="5"/>
      <c r="J54" s="5"/>
      <c r="K54" s="5">
        <v>230</v>
      </c>
      <c r="L54" s="5">
        <v>19</v>
      </c>
      <c r="M54" s="5">
        <v>3</v>
      </c>
      <c r="N54" s="5" t="s">
        <v>6</v>
      </c>
      <c r="O54" s="5">
        <v>0</v>
      </c>
      <c r="P54" s="5">
        <f>ROUND(Source!ES34,O54)</f>
        <v>0</v>
      </c>
      <c r="Q54" s="5"/>
      <c r="R54" s="5"/>
      <c r="S54" s="5"/>
      <c r="T54" s="5"/>
      <c r="U54" s="5"/>
      <c r="V54" s="5"/>
      <c r="W54" s="5">
        <v>0</v>
      </c>
      <c r="X54" s="5">
        <v>1</v>
      </c>
      <c r="Y54" s="5">
        <v>0</v>
      </c>
      <c r="Z54" s="5">
        <v>0</v>
      </c>
      <c r="AA54" s="5">
        <v>1</v>
      </c>
      <c r="AB54" s="5">
        <v>0</v>
      </c>
      <c r="IF54">
        <v>-1</v>
      </c>
    </row>
    <row r="55" spans="1:240" x14ac:dyDescent="0.2">
      <c r="A55" s="5">
        <v>50</v>
      </c>
      <c r="B55" s="5">
        <v>0</v>
      </c>
      <c r="C55" s="5">
        <v>0</v>
      </c>
      <c r="D55" s="5">
        <v>1</v>
      </c>
      <c r="E55" s="5">
        <v>206</v>
      </c>
      <c r="F55" s="5">
        <f>ROUND(Source!T34,O55)</f>
        <v>0</v>
      </c>
      <c r="G55" s="5" t="s">
        <v>84</v>
      </c>
      <c r="H55" s="5" t="s">
        <v>85</v>
      </c>
      <c r="I55" s="5"/>
      <c r="J55" s="5"/>
      <c r="K55" s="5">
        <v>206</v>
      </c>
      <c r="L55" s="5">
        <v>20</v>
      </c>
      <c r="M55" s="5">
        <v>3</v>
      </c>
      <c r="N55" s="5" t="s">
        <v>6</v>
      </c>
      <c r="O55" s="5">
        <v>0</v>
      </c>
      <c r="P55" s="5">
        <f>ROUND(Source!DL34,O55)</f>
        <v>0</v>
      </c>
      <c r="Q55" s="5"/>
      <c r="R55" s="5"/>
      <c r="S55" s="5"/>
      <c r="T55" s="5"/>
      <c r="U55" s="5"/>
      <c r="V55" s="5"/>
      <c r="W55" s="5">
        <v>0</v>
      </c>
      <c r="X55" s="5">
        <v>1</v>
      </c>
      <c r="Y55" s="5">
        <v>0</v>
      </c>
      <c r="Z55" s="5">
        <v>0</v>
      </c>
      <c r="AA55" s="5">
        <v>1</v>
      </c>
      <c r="AB55" s="5">
        <v>0</v>
      </c>
      <c r="IF55">
        <v>-1</v>
      </c>
    </row>
    <row r="56" spans="1:240" x14ac:dyDescent="0.2">
      <c r="A56" s="5">
        <v>50</v>
      </c>
      <c r="B56" s="5">
        <v>0</v>
      </c>
      <c r="C56" s="5">
        <v>0</v>
      </c>
      <c r="D56" s="5">
        <v>1</v>
      </c>
      <c r="E56" s="5">
        <v>207</v>
      </c>
      <c r="F56" s="5">
        <f>Source!U34</f>
        <v>278.18263499999995</v>
      </c>
      <c r="G56" s="5" t="s">
        <v>86</v>
      </c>
      <c r="H56" s="5" t="s">
        <v>87</v>
      </c>
      <c r="I56" s="5"/>
      <c r="J56" s="5"/>
      <c r="K56" s="5">
        <v>207</v>
      </c>
      <c r="L56" s="5">
        <v>21</v>
      </c>
      <c r="M56" s="5">
        <v>3</v>
      </c>
      <c r="N56" s="5" t="s">
        <v>6</v>
      </c>
      <c r="O56" s="5">
        <v>-1</v>
      </c>
      <c r="P56" s="5">
        <f>Source!DM34</f>
        <v>278.18263499999995</v>
      </c>
      <c r="Q56" s="5"/>
      <c r="R56" s="5"/>
      <c r="S56" s="5"/>
      <c r="T56" s="5"/>
      <c r="U56" s="5"/>
      <c r="V56" s="5"/>
      <c r="W56" s="5">
        <v>278.182635</v>
      </c>
      <c r="X56" s="5">
        <v>1</v>
      </c>
      <c r="Y56" s="5">
        <v>278.182635</v>
      </c>
      <c r="Z56" s="5">
        <v>278.182635</v>
      </c>
      <c r="AA56" s="5">
        <v>1</v>
      </c>
      <c r="AB56" s="5">
        <v>278.182635</v>
      </c>
      <c r="IF56">
        <v>-1</v>
      </c>
    </row>
    <row r="57" spans="1:240" x14ac:dyDescent="0.2">
      <c r="A57" s="5">
        <v>50</v>
      </c>
      <c r="B57" s="5">
        <v>0</v>
      </c>
      <c r="C57" s="5">
        <v>0</v>
      </c>
      <c r="D57" s="5">
        <v>1</v>
      </c>
      <c r="E57" s="5">
        <v>208</v>
      </c>
      <c r="F57" s="5">
        <f>Source!V34</f>
        <v>95.796950999999993</v>
      </c>
      <c r="G57" s="5" t="s">
        <v>88</v>
      </c>
      <c r="H57" s="5" t="s">
        <v>89</v>
      </c>
      <c r="I57" s="5"/>
      <c r="J57" s="5"/>
      <c r="K57" s="5">
        <v>208</v>
      </c>
      <c r="L57" s="5">
        <v>22</v>
      </c>
      <c r="M57" s="5">
        <v>3</v>
      </c>
      <c r="N57" s="5" t="s">
        <v>6</v>
      </c>
      <c r="O57" s="5">
        <v>-1</v>
      </c>
      <c r="P57" s="5">
        <f>Source!DN34</f>
        <v>95.796950999999993</v>
      </c>
      <c r="Q57" s="5"/>
      <c r="R57" s="5"/>
      <c r="S57" s="5"/>
      <c r="T57" s="5"/>
      <c r="U57" s="5"/>
      <c r="V57" s="5"/>
      <c r="W57" s="5">
        <v>95.796950999999993</v>
      </c>
      <c r="X57" s="5">
        <v>1</v>
      </c>
      <c r="Y57" s="5">
        <v>95.796950999999993</v>
      </c>
      <c r="Z57" s="5">
        <v>95.796950999999993</v>
      </c>
      <c r="AA57" s="5">
        <v>1</v>
      </c>
      <c r="AB57" s="5">
        <v>95.796950999999993</v>
      </c>
      <c r="IF57">
        <v>-1</v>
      </c>
    </row>
    <row r="58" spans="1:240" x14ac:dyDescent="0.2">
      <c r="A58" s="5">
        <v>50</v>
      </c>
      <c r="B58" s="5">
        <v>0</v>
      </c>
      <c r="C58" s="5">
        <v>0</v>
      </c>
      <c r="D58" s="5">
        <v>1</v>
      </c>
      <c r="E58" s="5">
        <v>209</v>
      </c>
      <c r="F58" s="5">
        <f>ROUND(Source!W34,O58)</f>
        <v>0</v>
      </c>
      <c r="G58" s="5" t="s">
        <v>90</v>
      </c>
      <c r="H58" s="5" t="s">
        <v>91</v>
      </c>
      <c r="I58" s="5"/>
      <c r="J58" s="5"/>
      <c r="K58" s="5">
        <v>209</v>
      </c>
      <c r="L58" s="5">
        <v>23</v>
      </c>
      <c r="M58" s="5">
        <v>3</v>
      </c>
      <c r="N58" s="5" t="s">
        <v>6</v>
      </c>
      <c r="O58" s="5">
        <v>0</v>
      </c>
      <c r="P58" s="5">
        <f>ROUND(Source!DO34,O58)</f>
        <v>0</v>
      </c>
      <c r="Q58" s="5"/>
      <c r="R58" s="5"/>
      <c r="S58" s="5"/>
      <c r="T58" s="5"/>
      <c r="U58" s="5"/>
      <c r="V58" s="5"/>
      <c r="W58" s="5">
        <v>0</v>
      </c>
      <c r="X58" s="5">
        <v>1</v>
      </c>
      <c r="Y58" s="5">
        <v>0</v>
      </c>
      <c r="Z58" s="5">
        <v>0</v>
      </c>
      <c r="AA58" s="5">
        <v>1</v>
      </c>
      <c r="AB58" s="5">
        <v>0</v>
      </c>
      <c r="IF58">
        <v>-1</v>
      </c>
    </row>
    <row r="59" spans="1:240" x14ac:dyDescent="0.2">
      <c r="A59" s="5">
        <v>50</v>
      </c>
      <c r="B59" s="5">
        <v>0</v>
      </c>
      <c r="C59" s="5">
        <v>0</v>
      </c>
      <c r="D59" s="5">
        <v>1</v>
      </c>
      <c r="E59" s="5">
        <v>233</v>
      </c>
      <c r="F59" s="5">
        <f>ROUND(Source!BD34,O59)</f>
        <v>16406</v>
      </c>
      <c r="G59" s="5" t="s">
        <v>92</v>
      </c>
      <c r="H59" s="5" t="s">
        <v>93</v>
      </c>
      <c r="I59" s="5"/>
      <c r="J59" s="5"/>
      <c r="K59" s="5">
        <v>233</v>
      </c>
      <c r="L59" s="5">
        <v>24</v>
      </c>
      <c r="M59" s="5">
        <v>3</v>
      </c>
      <c r="N59" s="5" t="s">
        <v>6</v>
      </c>
      <c r="O59" s="5">
        <v>0</v>
      </c>
      <c r="P59" s="5">
        <f>ROUND(Source!EV34,O59)</f>
        <v>116807</v>
      </c>
      <c r="Q59" s="5"/>
      <c r="R59" s="5"/>
      <c r="S59" s="5"/>
      <c r="T59" s="5"/>
      <c r="U59" s="5"/>
      <c r="V59" s="5"/>
      <c r="W59" s="5">
        <v>16406</v>
      </c>
      <c r="X59" s="5">
        <v>1</v>
      </c>
      <c r="Y59" s="5">
        <v>16406</v>
      </c>
      <c r="Z59" s="5">
        <v>116807</v>
      </c>
      <c r="AA59" s="5">
        <v>1</v>
      </c>
      <c r="AB59" s="5">
        <v>116807</v>
      </c>
      <c r="IF59">
        <v>-1</v>
      </c>
    </row>
    <row r="60" spans="1:240" x14ac:dyDescent="0.2">
      <c r="A60" s="5">
        <v>50</v>
      </c>
      <c r="B60" s="5">
        <v>0</v>
      </c>
      <c r="C60" s="5">
        <v>0</v>
      </c>
      <c r="D60" s="5">
        <v>1</v>
      </c>
      <c r="E60" s="5">
        <v>210</v>
      </c>
      <c r="F60" s="5">
        <f>ROUND(Source!X34,O60)</f>
        <v>3004</v>
      </c>
      <c r="G60" s="5" t="s">
        <v>94</v>
      </c>
      <c r="H60" s="5" t="s">
        <v>95</v>
      </c>
      <c r="I60" s="5"/>
      <c r="J60" s="5"/>
      <c r="K60" s="5">
        <v>210</v>
      </c>
      <c r="L60" s="5">
        <v>25</v>
      </c>
      <c r="M60" s="5">
        <v>3</v>
      </c>
      <c r="N60" s="5" t="s">
        <v>6</v>
      </c>
      <c r="O60" s="5">
        <v>0</v>
      </c>
      <c r="P60" s="5">
        <f>ROUND(Source!DP34,O60)</f>
        <v>63981</v>
      </c>
      <c r="Q60" s="5"/>
      <c r="R60" s="5"/>
      <c r="S60" s="5"/>
      <c r="T60" s="5"/>
      <c r="U60" s="5"/>
      <c r="V60" s="5"/>
      <c r="W60" s="5">
        <v>3004</v>
      </c>
      <c r="X60" s="5">
        <v>1</v>
      </c>
      <c r="Y60" s="5">
        <v>3004</v>
      </c>
      <c r="Z60" s="5">
        <v>63981</v>
      </c>
      <c r="AA60" s="5">
        <v>1</v>
      </c>
      <c r="AB60" s="5">
        <v>63981</v>
      </c>
      <c r="IF60">
        <v>-1</v>
      </c>
    </row>
    <row r="61" spans="1:240" x14ac:dyDescent="0.2">
      <c r="A61" s="5">
        <v>50</v>
      </c>
      <c r="B61" s="5">
        <v>0</v>
      </c>
      <c r="C61" s="5">
        <v>0</v>
      </c>
      <c r="D61" s="5">
        <v>1</v>
      </c>
      <c r="E61" s="5">
        <v>211</v>
      </c>
      <c r="F61" s="5">
        <f>ROUND(Source!Y34,O61)</f>
        <v>1643</v>
      </c>
      <c r="G61" s="5" t="s">
        <v>96</v>
      </c>
      <c r="H61" s="5" t="s">
        <v>97</v>
      </c>
      <c r="I61" s="5"/>
      <c r="J61" s="5"/>
      <c r="K61" s="5">
        <v>211</v>
      </c>
      <c r="L61" s="5">
        <v>26</v>
      </c>
      <c r="M61" s="5">
        <v>3</v>
      </c>
      <c r="N61" s="5" t="s">
        <v>6</v>
      </c>
      <c r="O61" s="5">
        <v>0</v>
      </c>
      <c r="P61" s="5">
        <f>ROUND(Source!DQ34,O61)</f>
        <v>31466</v>
      </c>
      <c r="Q61" s="5"/>
      <c r="R61" s="5"/>
      <c r="S61" s="5"/>
      <c r="T61" s="5"/>
      <c r="U61" s="5"/>
      <c r="V61" s="5"/>
      <c r="W61" s="5">
        <v>1643</v>
      </c>
      <c r="X61" s="5">
        <v>1</v>
      </c>
      <c r="Y61" s="5">
        <v>1643</v>
      </c>
      <c r="Z61" s="5">
        <v>31466</v>
      </c>
      <c r="AA61" s="5">
        <v>1</v>
      </c>
      <c r="AB61" s="5">
        <v>31466</v>
      </c>
      <c r="IF61">
        <v>-1</v>
      </c>
    </row>
    <row r="62" spans="1:240" x14ac:dyDescent="0.2">
      <c r="A62" s="5">
        <v>50</v>
      </c>
      <c r="B62" s="5">
        <v>0</v>
      </c>
      <c r="C62" s="5">
        <v>0</v>
      </c>
      <c r="D62" s="5">
        <v>1</v>
      </c>
      <c r="E62" s="5">
        <v>224</v>
      </c>
      <c r="F62" s="5">
        <f>ROUND(Source!AR34,O62)</f>
        <v>34537</v>
      </c>
      <c r="G62" s="5" t="s">
        <v>98</v>
      </c>
      <c r="H62" s="5" t="s">
        <v>99</v>
      </c>
      <c r="I62" s="5"/>
      <c r="J62" s="5"/>
      <c r="K62" s="5">
        <v>224</v>
      </c>
      <c r="L62" s="5">
        <v>27</v>
      </c>
      <c r="M62" s="5">
        <v>3</v>
      </c>
      <c r="N62" s="5" t="s">
        <v>6</v>
      </c>
      <c r="O62" s="5">
        <v>0</v>
      </c>
      <c r="P62" s="5">
        <f>ROUND(Source!EJ34,O62)</f>
        <v>340109</v>
      </c>
      <c r="Q62" s="5"/>
      <c r="R62" s="5"/>
      <c r="S62" s="5"/>
      <c r="T62" s="5"/>
      <c r="U62" s="5"/>
      <c r="V62" s="5"/>
      <c r="W62" s="5">
        <v>34537</v>
      </c>
      <c r="X62" s="5">
        <v>1</v>
      </c>
      <c r="Y62" s="5">
        <v>34537</v>
      </c>
      <c r="Z62" s="5">
        <v>340109</v>
      </c>
      <c r="AA62" s="5">
        <v>1</v>
      </c>
      <c r="AB62" s="5">
        <v>340109</v>
      </c>
      <c r="IF62">
        <v>-1</v>
      </c>
    </row>
    <row r="63" spans="1:240" x14ac:dyDescent="0.2">
      <c r="IF63">
        <v>-1</v>
      </c>
    </row>
    <row r="64" spans="1:240" x14ac:dyDescent="0.2">
      <c r="A64" s="3">
        <v>51</v>
      </c>
      <c r="B64" s="3">
        <f>B12</f>
        <v>128</v>
      </c>
      <c r="C64" s="3">
        <f>A12</f>
        <v>1</v>
      </c>
      <c r="D64" s="3">
        <f>ROW(A12)</f>
        <v>12</v>
      </c>
      <c r="E64" s="3"/>
      <c r="F64" s="3" t="str">
        <f>IF(F12&lt;&gt;"",F12,"")</f>
        <v>5.1.1.1 Устройство котлована</v>
      </c>
      <c r="G64" s="3" t="str">
        <f>IF(G12&lt;&gt;"",G12,"")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H64" s="3">
        <v>0</v>
      </c>
      <c r="I64" s="3"/>
      <c r="J64" s="3"/>
      <c r="K64" s="3"/>
      <c r="L64" s="3"/>
      <c r="M64" s="3"/>
      <c r="N64" s="3"/>
      <c r="O64" s="3">
        <f t="shared" ref="O64:T64" si="47">ROUND(O34,0)</f>
        <v>29890</v>
      </c>
      <c r="P64" s="3">
        <f t="shared" si="47"/>
        <v>0</v>
      </c>
      <c r="Q64" s="3">
        <f t="shared" si="47"/>
        <v>27701</v>
      </c>
      <c r="R64" s="3">
        <f t="shared" si="47"/>
        <v>1304</v>
      </c>
      <c r="S64" s="3">
        <f t="shared" si="47"/>
        <v>2189</v>
      </c>
      <c r="T64" s="3">
        <f t="shared" si="47"/>
        <v>0</v>
      </c>
      <c r="U64" s="3">
        <f>U34</f>
        <v>278.18263499999995</v>
      </c>
      <c r="V64" s="3">
        <f>V34</f>
        <v>95.796950999999993</v>
      </c>
      <c r="W64" s="3">
        <f>ROUND(W34,0)</f>
        <v>0</v>
      </c>
      <c r="X64" s="3">
        <f>ROUND(X34,0)</f>
        <v>3004</v>
      </c>
      <c r="Y64" s="3">
        <f>ROUND(Y34,0)</f>
        <v>1643</v>
      </c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>
        <f t="shared" ref="AO64:BD64" si="48">ROUND(AO34,0)</f>
        <v>0</v>
      </c>
      <c r="AP64" s="3">
        <f t="shared" si="48"/>
        <v>0</v>
      </c>
      <c r="AQ64" s="3">
        <f t="shared" si="48"/>
        <v>0</v>
      </c>
      <c r="AR64" s="3">
        <f t="shared" si="48"/>
        <v>34537</v>
      </c>
      <c r="AS64" s="3">
        <f t="shared" si="48"/>
        <v>34537</v>
      </c>
      <c r="AT64" s="3">
        <f t="shared" si="48"/>
        <v>0</v>
      </c>
      <c r="AU64" s="3">
        <f t="shared" si="48"/>
        <v>0</v>
      </c>
      <c r="AV64" s="3">
        <f t="shared" si="48"/>
        <v>0</v>
      </c>
      <c r="AW64" s="3">
        <f t="shared" si="48"/>
        <v>0</v>
      </c>
      <c r="AX64" s="3">
        <f t="shared" si="48"/>
        <v>0</v>
      </c>
      <c r="AY64" s="3">
        <f t="shared" si="48"/>
        <v>0</v>
      </c>
      <c r="AZ64" s="3">
        <f t="shared" si="48"/>
        <v>0</v>
      </c>
      <c r="BA64" s="3">
        <f t="shared" si="48"/>
        <v>0</v>
      </c>
      <c r="BB64" s="3">
        <f t="shared" si="48"/>
        <v>0</v>
      </c>
      <c r="BC64" s="3">
        <f t="shared" si="48"/>
        <v>0</v>
      </c>
      <c r="BD64" s="3">
        <f t="shared" si="48"/>
        <v>16406</v>
      </c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4">
        <f t="shared" ref="DG64:DL64" si="49">ROUND(DG34,0)</f>
        <v>244662</v>
      </c>
      <c r="DH64" s="4">
        <f t="shared" si="49"/>
        <v>0</v>
      </c>
      <c r="DI64" s="4">
        <f t="shared" si="49"/>
        <v>189207</v>
      </c>
      <c r="DJ64" s="4">
        <f t="shared" si="49"/>
        <v>23899</v>
      </c>
      <c r="DK64" s="4">
        <f t="shared" si="49"/>
        <v>55455</v>
      </c>
      <c r="DL64" s="4">
        <f t="shared" si="49"/>
        <v>0</v>
      </c>
      <c r="DM64" s="4">
        <f>DM34</f>
        <v>278.18263499999995</v>
      </c>
      <c r="DN64" s="4">
        <f>DN34</f>
        <v>95.796950999999993</v>
      </c>
      <c r="DO64" s="4">
        <f>ROUND(DO34,0)</f>
        <v>0</v>
      </c>
      <c r="DP64" s="4">
        <f>ROUND(DP34,0)</f>
        <v>63981</v>
      </c>
      <c r="DQ64" s="4">
        <f>ROUND(DQ34,0)</f>
        <v>31466</v>
      </c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>
        <f t="shared" ref="EG64:EV64" si="50">ROUND(EG34,0)</f>
        <v>0</v>
      </c>
      <c r="EH64" s="4">
        <f t="shared" si="50"/>
        <v>0</v>
      </c>
      <c r="EI64" s="4">
        <f t="shared" si="50"/>
        <v>0</v>
      </c>
      <c r="EJ64" s="4">
        <f t="shared" si="50"/>
        <v>340109</v>
      </c>
      <c r="EK64" s="4">
        <f t="shared" si="50"/>
        <v>340109</v>
      </c>
      <c r="EL64" s="4">
        <f t="shared" si="50"/>
        <v>0</v>
      </c>
      <c r="EM64" s="4">
        <f t="shared" si="50"/>
        <v>0</v>
      </c>
      <c r="EN64" s="4">
        <f t="shared" si="50"/>
        <v>0</v>
      </c>
      <c r="EO64" s="4">
        <f t="shared" si="50"/>
        <v>0</v>
      </c>
      <c r="EP64" s="4">
        <f t="shared" si="50"/>
        <v>0</v>
      </c>
      <c r="EQ64" s="4">
        <f t="shared" si="50"/>
        <v>0</v>
      </c>
      <c r="ER64" s="4">
        <f t="shared" si="50"/>
        <v>0</v>
      </c>
      <c r="ES64" s="4">
        <f t="shared" si="50"/>
        <v>0</v>
      </c>
      <c r="ET64" s="4">
        <f t="shared" si="50"/>
        <v>0</v>
      </c>
      <c r="EU64" s="4">
        <f t="shared" si="50"/>
        <v>0</v>
      </c>
      <c r="EV64" s="4">
        <f t="shared" si="50"/>
        <v>116807</v>
      </c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>
        <v>0</v>
      </c>
      <c r="IF64">
        <v>-1</v>
      </c>
    </row>
    <row r="65" spans="1:240" x14ac:dyDescent="0.2">
      <c r="IF65">
        <v>-1</v>
      </c>
    </row>
    <row r="66" spans="1:240" x14ac:dyDescent="0.2">
      <c r="A66" s="5">
        <v>50</v>
      </c>
      <c r="B66" s="5">
        <v>0</v>
      </c>
      <c r="C66" s="5">
        <v>0</v>
      </c>
      <c r="D66" s="5">
        <v>1</v>
      </c>
      <c r="E66" s="5">
        <v>201</v>
      </c>
      <c r="F66" s="5">
        <f>ROUND(Source!O64,O66)</f>
        <v>29890</v>
      </c>
      <c r="G66" s="5" t="s">
        <v>46</v>
      </c>
      <c r="H66" s="5" t="s">
        <v>47</v>
      </c>
      <c r="I66" s="5"/>
      <c r="J66" s="5"/>
      <c r="K66" s="5">
        <v>201</v>
      </c>
      <c r="L66" s="5">
        <v>1</v>
      </c>
      <c r="M66" s="5">
        <v>3</v>
      </c>
      <c r="N66" s="5" t="s">
        <v>6</v>
      </c>
      <c r="O66" s="5">
        <v>0</v>
      </c>
      <c r="P66" s="5">
        <f>ROUND(Source!DG64,O66)</f>
        <v>244662</v>
      </c>
      <c r="Q66" s="5"/>
      <c r="R66" s="5"/>
      <c r="S66" s="5"/>
      <c r="T66" s="5"/>
      <c r="U66" s="5"/>
      <c r="V66" s="5"/>
      <c r="W66" s="5">
        <v>29890</v>
      </c>
      <c r="X66" s="5">
        <v>1</v>
      </c>
      <c r="Y66" s="5">
        <v>29890</v>
      </c>
      <c r="Z66" s="5">
        <v>244662</v>
      </c>
      <c r="AA66" s="5">
        <v>1</v>
      </c>
      <c r="AB66" s="5">
        <v>244662</v>
      </c>
      <c r="IF66">
        <v>-1</v>
      </c>
    </row>
    <row r="67" spans="1:240" x14ac:dyDescent="0.2">
      <c r="A67" s="5">
        <v>50</v>
      </c>
      <c r="B67" s="5">
        <v>0</v>
      </c>
      <c r="C67" s="5">
        <v>0</v>
      </c>
      <c r="D67" s="5">
        <v>1</v>
      </c>
      <c r="E67" s="5">
        <v>202</v>
      </c>
      <c r="F67" s="5">
        <f>ROUND(Source!P64,O67)</f>
        <v>0</v>
      </c>
      <c r="G67" s="5" t="s">
        <v>48</v>
      </c>
      <c r="H67" s="5" t="s">
        <v>49</v>
      </c>
      <c r="I67" s="5"/>
      <c r="J67" s="5"/>
      <c r="K67" s="5">
        <v>202</v>
      </c>
      <c r="L67" s="5">
        <v>2</v>
      </c>
      <c r="M67" s="5">
        <v>3</v>
      </c>
      <c r="N67" s="5" t="s">
        <v>6</v>
      </c>
      <c r="O67" s="5">
        <v>0</v>
      </c>
      <c r="P67" s="5">
        <f>ROUND(Source!DH64,O67)</f>
        <v>0</v>
      </c>
      <c r="Q67" s="5"/>
      <c r="R67" s="5"/>
      <c r="S67" s="5"/>
      <c r="T67" s="5"/>
      <c r="U67" s="5"/>
      <c r="V67" s="5"/>
      <c r="W67" s="5">
        <v>0</v>
      </c>
      <c r="X67" s="5">
        <v>1</v>
      </c>
      <c r="Y67" s="5">
        <v>0</v>
      </c>
      <c r="Z67" s="5">
        <v>0</v>
      </c>
      <c r="AA67" s="5">
        <v>1</v>
      </c>
      <c r="AB67" s="5">
        <v>0</v>
      </c>
      <c r="IF67">
        <v>-1</v>
      </c>
    </row>
    <row r="68" spans="1:240" x14ac:dyDescent="0.2">
      <c r="A68" s="5">
        <v>50</v>
      </c>
      <c r="B68" s="5">
        <v>0</v>
      </c>
      <c r="C68" s="5">
        <v>0</v>
      </c>
      <c r="D68" s="5">
        <v>1</v>
      </c>
      <c r="E68" s="5">
        <v>222</v>
      </c>
      <c r="F68" s="5">
        <f>ROUND(Source!AO64,O68)</f>
        <v>0</v>
      </c>
      <c r="G68" s="5" t="s">
        <v>50</v>
      </c>
      <c r="H68" s="5" t="s">
        <v>51</v>
      </c>
      <c r="I68" s="5"/>
      <c r="J68" s="5"/>
      <c r="K68" s="5">
        <v>222</v>
      </c>
      <c r="L68" s="5">
        <v>3</v>
      </c>
      <c r="M68" s="5">
        <v>3</v>
      </c>
      <c r="N68" s="5" t="s">
        <v>6</v>
      </c>
      <c r="O68" s="5">
        <v>0</v>
      </c>
      <c r="P68" s="5">
        <f>ROUND(Source!EG64,O68)</f>
        <v>0</v>
      </c>
      <c r="Q68" s="5"/>
      <c r="R68" s="5"/>
      <c r="S68" s="5"/>
      <c r="T68" s="5"/>
      <c r="U68" s="5"/>
      <c r="V68" s="5"/>
      <c r="W68" s="5">
        <v>0</v>
      </c>
      <c r="X68" s="5">
        <v>1</v>
      </c>
      <c r="Y68" s="5">
        <v>0</v>
      </c>
      <c r="Z68" s="5">
        <v>0</v>
      </c>
      <c r="AA68" s="5">
        <v>1</v>
      </c>
      <c r="AB68" s="5">
        <v>0</v>
      </c>
      <c r="IF68">
        <v>-1</v>
      </c>
    </row>
    <row r="69" spans="1:240" x14ac:dyDescent="0.2">
      <c r="A69" s="5">
        <v>50</v>
      </c>
      <c r="B69" s="5">
        <v>0</v>
      </c>
      <c r="C69" s="5">
        <v>0</v>
      </c>
      <c r="D69" s="5">
        <v>1</v>
      </c>
      <c r="E69" s="5">
        <v>225</v>
      </c>
      <c r="F69" s="5">
        <f>ROUND(Source!AV64,O69)</f>
        <v>0</v>
      </c>
      <c r="G69" s="5" t="s">
        <v>52</v>
      </c>
      <c r="H69" s="5" t="s">
        <v>53</v>
      </c>
      <c r="I69" s="5"/>
      <c r="J69" s="5"/>
      <c r="K69" s="5">
        <v>225</v>
      </c>
      <c r="L69" s="5">
        <v>4</v>
      </c>
      <c r="M69" s="5">
        <v>3</v>
      </c>
      <c r="N69" s="5" t="s">
        <v>6</v>
      </c>
      <c r="O69" s="5">
        <v>0</v>
      </c>
      <c r="P69" s="5">
        <f>ROUND(Source!EN64,O69)</f>
        <v>0</v>
      </c>
      <c r="Q69" s="5"/>
      <c r="R69" s="5"/>
      <c r="S69" s="5"/>
      <c r="T69" s="5"/>
      <c r="U69" s="5"/>
      <c r="V69" s="5"/>
      <c r="W69" s="5">
        <v>0</v>
      </c>
      <c r="X69" s="5">
        <v>1</v>
      </c>
      <c r="Y69" s="5">
        <v>0</v>
      </c>
      <c r="Z69" s="5">
        <v>0</v>
      </c>
      <c r="AA69" s="5">
        <v>1</v>
      </c>
      <c r="AB69" s="5">
        <v>0</v>
      </c>
      <c r="IF69">
        <v>-1</v>
      </c>
    </row>
    <row r="70" spans="1:240" x14ac:dyDescent="0.2">
      <c r="A70" s="5">
        <v>50</v>
      </c>
      <c r="B70" s="5">
        <v>0</v>
      </c>
      <c r="C70" s="5">
        <v>0</v>
      </c>
      <c r="D70" s="5">
        <v>1</v>
      </c>
      <c r="E70" s="5">
        <v>226</v>
      </c>
      <c r="F70" s="5">
        <f>ROUND(Source!AW64,O70)</f>
        <v>0</v>
      </c>
      <c r="G70" s="5" t="s">
        <v>54</v>
      </c>
      <c r="H70" s="5" t="s">
        <v>55</v>
      </c>
      <c r="I70" s="5"/>
      <c r="J70" s="5"/>
      <c r="K70" s="5">
        <v>226</v>
      </c>
      <c r="L70" s="5">
        <v>5</v>
      </c>
      <c r="M70" s="5">
        <v>3</v>
      </c>
      <c r="N70" s="5" t="s">
        <v>6</v>
      </c>
      <c r="O70" s="5">
        <v>0</v>
      </c>
      <c r="P70" s="5">
        <f>ROUND(Source!EO64,O70)</f>
        <v>0</v>
      </c>
      <c r="Q70" s="5"/>
      <c r="R70" s="5"/>
      <c r="S70" s="5"/>
      <c r="T70" s="5"/>
      <c r="U70" s="5"/>
      <c r="V70" s="5"/>
      <c r="W70" s="5">
        <v>0</v>
      </c>
      <c r="X70" s="5">
        <v>1</v>
      </c>
      <c r="Y70" s="5">
        <v>0</v>
      </c>
      <c r="Z70" s="5">
        <v>0</v>
      </c>
      <c r="AA70" s="5">
        <v>1</v>
      </c>
      <c r="AB70" s="5">
        <v>0</v>
      </c>
      <c r="IF70">
        <v>-1</v>
      </c>
    </row>
    <row r="71" spans="1:240" x14ac:dyDescent="0.2">
      <c r="A71" s="5">
        <v>50</v>
      </c>
      <c r="B71" s="5">
        <v>0</v>
      </c>
      <c r="C71" s="5">
        <v>0</v>
      </c>
      <c r="D71" s="5">
        <v>1</v>
      </c>
      <c r="E71" s="5">
        <v>227</v>
      </c>
      <c r="F71" s="5">
        <f>ROUND(Source!AX64,O71)</f>
        <v>0</v>
      </c>
      <c r="G71" s="5" t="s">
        <v>56</v>
      </c>
      <c r="H71" s="5" t="s">
        <v>57</v>
      </c>
      <c r="I71" s="5"/>
      <c r="J71" s="5"/>
      <c r="K71" s="5">
        <v>227</v>
      </c>
      <c r="L71" s="5">
        <v>6</v>
      </c>
      <c r="M71" s="5">
        <v>3</v>
      </c>
      <c r="N71" s="5" t="s">
        <v>6</v>
      </c>
      <c r="O71" s="5">
        <v>0</v>
      </c>
      <c r="P71" s="5">
        <f>ROUND(Source!EP64,O71)</f>
        <v>0</v>
      </c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>
        <v>0</v>
      </c>
      <c r="AA71" s="5">
        <v>1</v>
      </c>
      <c r="AB71" s="5">
        <v>0</v>
      </c>
      <c r="IF71">
        <v>-1</v>
      </c>
    </row>
    <row r="72" spans="1:240" x14ac:dyDescent="0.2">
      <c r="A72" s="5">
        <v>50</v>
      </c>
      <c r="B72" s="5">
        <v>0</v>
      </c>
      <c r="C72" s="5">
        <v>0</v>
      </c>
      <c r="D72" s="5">
        <v>1</v>
      </c>
      <c r="E72" s="5">
        <v>228</v>
      </c>
      <c r="F72" s="5">
        <f>ROUND(Source!AY64,O72)</f>
        <v>0</v>
      </c>
      <c r="G72" s="5" t="s">
        <v>58</v>
      </c>
      <c r="H72" s="5" t="s">
        <v>59</v>
      </c>
      <c r="I72" s="5"/>
      <c r="J72" s="5"/>
      <c r="K72" s="5">
        <v>228</v>
      </c>
      <c r="L72" s="5">
        <v>7</v>
      </c>
      <c r="M72" s="5">
        <v>3</v>
      </c>
      <c r="N72" s="5" t="s">
        <v>6</v>
      </c>
      <c r="O72" s="5">
        <v>0</v>
      </c>
      <c r="P72" s="5">
        <f>ROUND(Source!EQ64,O72)</f>
        <v>0</v>
      </c>
      <c r="Q72" s="5"/>
      <c r="R72" s="5"/>
      <c r="S72" s="5"/>
      <c r="T72" s="5"/>
      <c r="U72" s="5"/>
      <c r="V72" s="5"/>
      <c r="W72" s="5">
        <v>0</v>
      </c>
      <c r="X72" s="5">
        <v>1</v>
      </c>
      <c r="Y72" s="5">
        <v>0</v>
      </c>
      <c r="Z72" s="5">
        <v>0</v>
      </c>
      <c r="AA72" s="5">
        <v>1</v>
      </c>
      <c r="AB72" s="5">
        <v>0</v>
      </c>
      <c r="IF72">
        <v>-1</v>
      </c>
    </row>
    <row r="73" spans="1:240" x14ac:dyDescent="0.2">
      <c r="A73" s="5">
        <v>50</v>
      </c>
      <c r="B73" s="5">
        <v>0</v>
      </c>
      <c r="C73" s="5">
        <v>0</v>
      </c>
      <c r="D73" s="5">
        <v>1</v>
      </c>
      <c r="E73" s="5">
        <v>216</v>
      </c>
      <c r="F73" s="5">
        <f>ROUND(Source!AP64,O73)</f>
        <v>0</v>
      </c>
      <c r="G73" s="5" t="s">
        <v>60</v>
      </c>
      <c r="H73" s="5" t="s">
        <v>61</v>
      </c>
      <c r="I73" s="5"/>
      <c r="J73" s="5"/>
      <c r="K73" s="5">
        <v>216</v>
      </c>
      <c r="L73" s="5">
        <v>8</v>
      </c>
      <c r="M73" s="5">
        <v>3</v>
      </c>
      <c r="N73" s="5" t="s">
        <v>6</v>
      </c>
      <c r="O73" s="5">
        <v>0</v>
      </c>
      <c r="P73" s="5">
        <f>ROUND(Source!EH64,O73)</f>
        <v>0</v>
      </c>
      <c r="Q73" s="5"/>
      <c r="R73" s="5"/>
      <c r="S73" s="5"/>
      <c r="T73" s="5"/>
      <c r="U73" s="5"/>
      <c r="V73" s="5"/>
      <c r="W73" s="5">
        <v>0</v>
      </c>
      <c r="X73" s="5">
        <v>1</v>
      </c>
      <c r="Y73" s="5">
        <v>0</v>
      </c>
      <c r="Z73" s="5">
        <v>0</v>
      </c>
      <c r="AA73" s="5">
        <v>1</v>
      </c>
      <c r="AB73" s="5">
        <v>0</v>
      </c>
      <c r="IF73">
        <v>-1</v>
      </c>
    </row>
    <row r="74" spans="1:240" x14ac:dyDescent="0.2">
      <c r="A74" s="5">
        <v>50</v>
      </c>
      <c r="B74" s="5">
        <v>0</v>
      </c>
      <c r="C74" s="5">
        <v>0</v>
      </c>
      <c r="D74" s="5">
        <v>1</v>
      </c>
      <c r="E74" s="5">
        <v>223</v>
      </c>
      <c r="F74" s="5">
        <f>ROUND(Source!AQ64,O74)</f>
        <v>0</v>
      </c>
      <c r="G74" s="5" t="s">
        <v>62</v>
      </c>
      <c r="H74" s="5" t="s">
        <v>63</v>
      </c>
      <c r="I74" s="5"/>
      <c r="J74" s="5"/>
      <c r="K74" s="5">
        <v>223</v>
      </c>
      <c r="L74" s="5">
        <v>9</v>
      </c>
      <c r="M74" s="5">
        <v>3</v>
      </c>
      <c r="N74" s="5" t="s">
        <v>6</v>
      </c>
      <c r="O74" s="5">
        <v>0</v>
      </c>
      <c r="P74" s="5">
        <f>ROUND(Source!EI64,O74)</f>
        <v>0</v>
      </c>
      <c r="Q74" s="5"/>
      <c r="R74" s="5"/>
      <c r="S74" s="5"/>
      <c r="T74" s="5"/>
      <c r="U74" s="5"/>
      <c r="V74" s="5"/>
      <c r="W74" s="5">
        <v>0</v>
      </c>
      <c r="X74" s="5">
        <v>1</v>
      </c>
      <c r="Y74" s="5">
        <v>0</v>
      </c>
      <c r="Z74" s="5">
        <v>0</v>
      </c>
      <c r="AA74" s="5">
        <v>1</v>
      </c>
      <c r="AB74" s="5">
        <v>0</v>
      </c>
      <c r="IF74">
        <v>-1</v>
      </c>
    </row>
    <row r="75" spans="1:240" x14ac:dyDescent="0.2">
      <c r="A75" s="5">
        <v>50</v>
      </c>
      <c r="B75" s="5">
        <v>0</v>
      </c>
      <c r="C75" s="5">
        <v>0</v>
      </c>
      <c r="D75" s="5">
        <v>1</v>
      </c>
      <c r="E75" s="5">
        <v>229</v>
      </c>
      <c r="F75" s="5">
        <f>ROUND(Source!AZ64,O75)</f>
        <v>0</v>
      </c>
      <c r="G75" s="5" t="s">
        <v>64</v>
      </c>
      <c r="H75" s="5" t="s">
        <v>65</v>
      </c>
      <c r="I75" s="5"/>
      <c r="J75" s="5"/>
      <c r="K75" s="5">
        <v>229</v>
      </c>
      <c r="L75" s="5">
        <v>10</v>
      </c>
      <c r="M75" s="5">
        <v>3</v>
      </c>
      <c r="N75" s="5" t="s">
        <v>6</v>
      </c>
      <c r="O75" s="5">
        <v>0</v>
      </c>
      <c r="P75" s="5">
        <f>ROUND(Source!ER64,O75)</f>
        <v>0</v>
      </c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>
        <v>0</v>
      </c>
      <c r="AA75" s="5">
        <v>1</v>
      </c>
      <c r="AB75" s="5">
        <v>0</v>
      </c>
      <c r="IF75">
        <v>-1</v>
      </c>
    </row>
    <row r="76" spans="1:240" x14ac:dyDescent="0.2">
      <c r="A76" s="5">
        <v>50</v>
      </c>
      <c r="B76" s="5">
        <v>0</v>
      </c>
      <c r="C76" s="5">
        <v>0</v>
      </c>
      <c r="D76" s="5">
        <v>1</v>
      </c>
      <c r="E76" s="5">
        <v>203</v>
      </c>
      <c r="F76" s="5">
        <f>ROUND(Source!Q64,O76)</f>
        <v>27701</v>
      </c>
      <c r="G76" s="5" t="s">
        <v>66</v>
      </c>
      <c r="H76" s="5" t="s">
        <v>67</v>
      </c>
      <c r="I76" s="5"/>
      <c r="J76" s="5"/>
      <c r="K76" s="5">
        <v>203</v>
      </c>
      <c r="L76" s="5">
        <v>11</v>
      </c>
      <c r="M76" s="5">
        <v>3</v>
      </c>
      <c r="N76" s="5" t="s">
        <v>6</v>
      </c>
      <c r="O76" s="5">
        <v>0</v>
      </c>
      <c r="P76" s="5">
        <f>ROUND(Source!DI64,O76)</f>
        <v>189207</v>
      </c>
      <c r="Q76" s="5"/>
      <c r="R76" s="5"/>
      <c r="S76" s="5"/>
      <c r="T76" s="5"/>
      <c r="U76" s="5"/>
      <c r="V76" s="5"/>
      <c r="W76" s="5">
        <v>27701</v>
      </c>
      <c r="X76" s="5">
        <v>1</v>
      </c>
      <c r="Y76" s="5">
        <v>27701</v>
      </c>
      <c r="Z76" s="5">
        <v>189207</v>
      </c>
      <c r="AA76" s="5">
        <v>1</v>
      </c>
      <c r="AB76" s="5">
        <v>189207</v>
      </c>
      <c r="IF76">
        <v>-1</v>
      </c>
    </row>
    <row r="77" spans="1:240" x14ac:dyDescent="0.2">
      <c r="A77" s="5">
        <v>50</v>
      </c>
      <c r="B77" s="5">
        <v>0</v>
      </c>
      <c r="C77" s="5">
        <v>0</v>
      </c>
      <c r="D77" s="5">
        <v>1</v>
      </c>
      <c r="E77" s="5">
        <v>231</v>
      </c>
      <c r="F77" s="5">
        <f>ROUND(Source!BB64,O77)</f>
        <v>0</v>
      </c>
      <c r="G77" s="5" t="s">
        <v>68</v>
      </c>
      <c r="H77" s="5" t="s">
        <v>69</v>
      </c>
      <c r="I77" s="5"/>
      <c r="J77" s="5"/>
      <c r="K77" s="5">
        <v>231</v>
      </c>
      <c r="L77" s="5">
        <v>12</v>
      </c>
      <c r="M77" s="5">
        <v>3</v>
      </c>
      <c r="N77" s="5" t="s">
        <v>6</v>
      </c>
      <c r="O77" s="5">
        <v>0</v>
      </c>
      <c r="P77" s="5">
        <f>ROUND(Source!ET64,O77)</f>
        <v>0</v>
      </c>
      <c r="Q77" s="5"/>
      <c r="R77" s="5"/>
      <c r="S77" s="5"/>
      <c r="T77" s="5"/>
      <c r="U77" s="5"/>
      <c r="V77" s="5"/>
      <c r="W77" s="5">
        <v>0</v>
      </c>
      <c r="X77" s="5">
        <v>1</v>
      </c>
      <c r="Y77" s="5">
        <v>0</v>
      </c>
      <c r="Z77" s="5">
        <v>0</v>
      </c>
      <c r="AA77" s="5">
        <v>1</v>
      </c>
      <c r="AB77" s="5">
        <v>0</v>
      </c>
      <c r="IF77">
        <v>-1</v>
      </c>
    </row>
    <row r="78" spans="1:240" x14ac:dyDescent="0.2">
      <c r="A78" s="5">
        <v>50</v>
      </c>
      <c r="B78" s="5">
        <v>0</v>
      </c>
      <c r="C78" s="5">
        <v>0</v>
      </c>
      <c r="D78" s="5">
        <v>1</v>
      </c>
      <c r="E78" s="5">
        <v>204</v>
      </c>
      <c r="F78" s="5">
        <f>ROUND(Source!R64,O78)</f>
        <v>1304</v>
      </c>
      <c r="G78" s="5" t="s">
        <v>70</v>
      </c>
      <c r="H78" s="5" t="s">
        <v>71</v>
      </c>
      <c r="I78" s="5"/>
      <c r="J78" s="5"/>
      <c r="K78" s="5">
        <v>204</v>
      </c>
      <c r="L78" s="5">
        <v>13</v>
      </c>
      <c r="M78" s="5">
        <v>3</v>
      </c>
      <c r="N78" s="5" t="s">
        <v>6</v>
      </c>
      <c r="O78" s="5">
        <v>0</v>
      </c>
      <c r="P78" s="5">
        <f>ROUND(Source!DJ64,O78)</f>
        <v>23899</v>
      </c>
      <c r="Q78" s="5"/>
      <c r="R78" s="5"/>
      <c r="S78" s="5"/>
      <c r="T78" s="5"/>
      <c r="U78" s="5"/>
      <c r="V78" s="5"/>
      <c r="W78" s="5">
        <v>1304</v>
      </c>
      <c r="X78" s="5">
        <v>1</v>
      </c>
      <c r="Y78" s="5">
        <v>1304</v>
      </c>
      <c r="Z78" s="5">
        <v>23899</v>
      </c>
      <c r="AA78" s="5">
        <v>1</v>
      </c>
      <c r="AB78" s="5">
        <v>23899</v>
      </c>
      <c r="IF78">
        <v>-1</v>
      </c>
    </row>
    <row r="79" spans="1:240" x14ac:dyDescent="0.2">
      <c r="A79" s="5">
        <v>50</v>
      </c>
      <c r="B79" s="5">
        <v>0</v>
      </c>
      <c r="C79" s="5">
        <v>0</v>
      </c>
      <c r="D79" s="5">
        <v>1</v>
      </c>
      <c r="E79" s="5">
        <v>205</v>
      </c>
      <c r="F79" s="5">
        <f>ROUND(Source!S64,O79)</f>
        <v>2189</v>
      </c>
      <c r="G79" s="5" t="s">
        <v>72</v>
      </c>
      <c r="H79" s="5" t="s">
        <v>73</v>
      </c>
      <c r="I79" s="5"/>
      <c r="J79" s="5"/>
      <c r="K79" s="5">
        <v>205</v>
      </c>
      <c r="L79" s="5">
        <v>14</v>
      </c>
      <c r="M79" s="5">
        <v>3</v>
      </c>
      <c r="N79" s="5" t="s">
        <v>6</v>
      </c>
      <c r="O79" s="5">
        <v>0</v>
      </c>
      <c r="P79" s="5">
        <f>ROUND(Source!DK64,O79)</f>
        <v>55455</v>
      </c>
      <c r="Q79" s="5"/>
      <c r="R79" s="5"/>
      <c r="S79" s="5"/>
      <c r="T79" s="5"/>
      <c r="U79" s="5"/>
      <c r="V79" s="5"/>
      <c r="W79" s="5">
        <v>2189</v>
      </c>
      <c r="X79" s="5">
        <v>1</v>
      </c>
      <c r="Y79" s="5">
        <v>2189</v>
      </c>
      <c r="Z79" s="5">
        <v>55455</v>
      </c>
      <c r="AA79" s="5">
        <v>1</v>
      </c>
      <c r="AB79" s="5">
        <v>55455</v>
      </c>
      <c r="IF79">
        <v>-1</v>
      </c>
    </row>
    <row r="80" spans="1:240" x14ac:dyDescent="0.2">
      <c r="A80" s="5">
        <v>50</v>
      </c>
      <c r="B80" s="5">
        <v>0</v>
      </c>
      <c r="C80" s="5">
        <v>0</v>
      </c>
      <c r="D80" s="5">
        <v>1</v>
      </c>
      <c r="E80" s="5">
        <v>232</v>
      </c>
      <c r="F80" s="5">
        <f>ROUND(Source!BC64,O80)</f>
        <v>0</v>
      </c>
      <c r="G80" s="5" t="s">
        <v>74</v>
      </c>
      <c r="H80" s="5" t="s">
        <v>75</v>
      </c>
      <c r="I80" s="5"/>
      <c r="J80" s="5"/>
      <c r="K80" s="5">
        <v>232</v>
      </c>
      <c r="L80" s="5">
        <v>15</v>
      </c>
      <c r="M80" s="5">
        <v>3</v>
      </c>
      <c r="N80" s="5" t="s">
        <v>6</v>
      </c>
      <c r="O80" s="5">
        <v>0</v>
      </c>
      <c r="P80" s="5">
        <f>ROUND(Source!EU64,O80)</f>
        <v>0</v>
      </c>
      <c r="Q80" s="5"/>
      <c r="R80" s="5"/>
      <c r="S80" s="5"/>
      <c r="T80" s="5"/>
      <c r="U80" s="5"/>
      <c r="V80" s="5"/>
      <c r="W80" s="5">
        <v>0</v>
      </c>
      <c r="X80" s="5">
        <v>1</v>
      </c>
      <c r="Y80" s="5">
        <v>0</v>
      </c>
      <c r="Z80" s="5">
        <v>0</v>
      </c>
      <c r="AA80" s="5">
        <v>1</v>
      </c>
      <c r="AB80" s="5">
        <v>0</v>
      </c>
      <c r="IF80">
        <v>-1</v>
      </c>
    </row>
    <row r="81" spans="1:240" x14ac:dyDescent="0.2">
      <c r="A81" s="5">
        <v>50</v>
      </c>
      <c r="B81" s="5">
        <v>0</v>
      </c>
      <c r="C81" s="5">
        <v>0</v>
      </c>
      <c r="D81" s="5">
        <v>1</v>
      </c>
      <c r="E81" s="5">
        <v>214</v>
      </c>
      <c r="F81" s="5">
        <f>ROUND(Source!AS64,O81)</f>
        <v>34537</v>
      </c>
      <c r="G81" s="5" t="s">
        <v>76</v>
      </c>
      <c r="H81" s="5" t="s">
        <v>77</v>
      </c>
      <c r="I81" s="5"/>
      <c r="J81" s="5"/>
      <c r="K81" s="5">
        <v>214</v>
      </c>
      <c r="L81" s="5">
        <v>16</v>
      </c>
      <c r="M81" s="5">
        <v>3</v>
      </c>
      <c r="N81" s="5" t="s">
        <v>6</v>
      </c>
      <c r="O81" s="5">
        <v>0</v>
      </c>
      <c r="P81" s="5">
        <f>ROUND(Source!EK64,O81)</f>
        <v>340109</v>
      </c>
      <c r="Q81" s="5"/>
      <c r="R81" s="5"/>
      <c r="S81" s="5"/>
      <c r="T81" s="5"/>
      <c r="U81" s="5"/>
      <c r="V81" s="5"/>
      <c r="W81" s="5">
        <v>34537</v>
      </c>
      <c r="X81" s="5">
        <v>1</v>
      </c>
      <c r="Y81" s="5">
        <v>34537</v>
      </c>
      <c r="Z81" s="5">
        <v>340109</v>
      </c>
      <c r="AA81" s="5">
        <v>1</v>
      </c>
      <c r="AB81" s="5">
        <v>340109</v>
      </c>
      <c r="IF81">
        <v>-1</v>
      </c>
    </row>
    <row r="82" spans="1:240" x14ac:dyDescent="0.2">
      <c r="A82" s="5">
        <v>50</v>
      </c>
      <c r="B82" s="5">
        <v>0</v>
      </c>
      <c r="C82" s="5">
        <v>0</v>
      </c>
      <c r="D82" s="5">
        <v>1</v>
      </c>
      <c r="E82" s="5">
        <v>215</v>
      </c>
      <c r="F82" s="5">
        <f>ROUND(Source!AT64,O82)</f>
        <v>0</v>
      </c>
      <c r="G82" s="5" t="s">
        <v>78</v>
      </c>
      <c r="H82" s="5" t="s">
        <v>79</v>
      </c>
      <c r="I82" s="5"/>
      <c r="J82" s="5"/>
      <c r="K82" s="5">
        <v>215</v>
      </c>
      <c r="L82" s="5">
        <v>17</v>
      </c>
      <c r="M82" s="5">
        <v>3</v>
      </c>
      <c r="N82" s="5" t="s">
        <v>6</v>
      </c>
      <c r="O82" s="5">
        <v>0</v>
      </c>
      <c r="P82" s="5">
        <f>ROUND(Source!EL64,O82)</f>
        <v>0</v>
      </c>
      <c r="Q82" s="5"/>
      <c r="R82" s="5"/>
      <c r="S82" s="5"/>
      <c r="T82" s="5"/>
      <c r="U82" s="5"/>
      <c r="V82" s="5"/>
      <c r="W82" s="5">
        <v>0</v>
      </c>
      <c r="X82" s="5">
        <v>1</v>
      </c>
      <c r="Y82" s="5">
        <v>0</v>
      </c>
      <c r="Z82" s="5">
        <v>0</v>
      </c>
      <c r="AA82" s="5">
        <v>1</v>
      </c>
      <c r="AB82" s="5">
        <v>0</v>
      </c>
      <c r="IF82">
        <v>-1</v>
      </c>
    </row>
    <row r="83" spans="1:240" x14ac:dyDescent="0.2">
      <c r="A83" s="5">
        <v>50</v>
      </c>
      <c r="B83" s="5">
        <v>0</v>
      </c>
      <c r="C83" s="5">
        <v>0</v>
      </c>
      <c r="D83" s="5">
        <v>1</v>
      </c>
      <c r="E83" s="5">
        <v>217</v>
      </c>
      <c r="F83" s="5">
        <f>ROUND(Source!AU64,O83)</f>
        <v>0</v>
      </c>
      <c r="G83" s="5" t="s">
        <v>80</v>
      </c>
      <c r="H83" s="5" t="s">
        <v>81</v>
      </c>
      <c r="I83" s="5"/>
      <c r="J83" s="5"/>
      <c r="K83" s="5">
        <v>217</v>
      </c>
      <c r="L83" s="5">
        <v>18</v>
      </c>
      <c r="M83" s="5">
        <v>3</v>
      </c>
      <c r="N83" s="5" t="s">
        <v>6</v>
      </c>
      <c r="O83" s="5">
        <v>0</v>
      </c>
      <c r="P83" s="5">
        <f>ROUND(Source!EM64,O83)</f>
        <v>0</v>
      </c>
      <c r="Q83" s="5"/>
      <c r="R83" s="5"/>
      <c r="S83" s="5"/>
      <c r="T83" s="5"/>
      <c r="U83" s="5"/>
      <c r="V83" s="5"/>
      <c r="W83" s="5">
        <v>0</v>
      </c>
      <c r="X83" s="5">
        <v>1</v>
      </c>
      <c r="Y83" s="5">
        <v>0</v>
      </c>
      <c r="Z83" s="5">
        <v>0</v>
      </c>
      <c r="AA83" s="5">
        <v>1</v>
      </c>
      <c r="AB83" s="5">
        <v>0</v>
      </c>
      <c r="IF83">
        <v>-1</v>
      </c>
    </row>
    <row r="84" spans="1:240" x14ac:dyDescent="0.2">
      <c r="A84" s="5">
        <v>50</v>
      </c>
      <c r="B84" s="5">
        <v>0</v>
      </c>
      <c r="C84" s="5">
        <v>0</v>
      </c>
      <c r="D84" s="5">
        <v>1</v>
      </c>
      <c r="E84" s="5">
        <v>230</v>
      </c>
      <c r="F84" s="5">
        <f>ROUND(Source!BA64,O84)</f>
        <v>0</v>
      </c>
      <c r="G84" s="5" t="s">
        <v>82</v>
      </c>
      <c r="H84" s="5" t="s">
        <v>83</v>
      </c>
      <c r="I84" s="5"/>
      <c r="J84" s="5"/>
      <c r="K84" s="5">
        <v>230</v>
      </c>
      <c r="L84" s="5">
        <v>19</v>
      </c>
      <c r="M84" s="5">
        <v>3</v>
      </c>
      <c r="N84" s="5" t="s">
        <v>6</v>
      </c>
      <c r="O84" s="5">
        <v>0</v>
      </c>
      <c r="P84" s="5">
        <f>ROUND(Source!ES64,O84)</f>
        <v>0</v>
      </c>
      <c r="Q84" s="5"/>
      <c r="R84" s="5"/>
      <c r="S84" s="5"/>
      <c r="T84" s="5"/>
      <c r="U84" s="5"/>
      <c r="V84" s="5"/>
      <c r="W84" s="5">
        <v>0</v>
      </c>
      <c r="X84" s="5">
        <v>1</v>
      </c>
      <c r="Y84" s="5">
        <v>0</v>
      </c>
      <c r="Z84" s="5">
        <v>0</v>
      </c>
      <c r="AA84" s="5">
        <v>1</v>
      </c>
      <c r="AB84" s="5">
        <v>0</v>
      </c>
      <c r="IF84">
        <v>-1</v>
      </c>
    </row>
    <row r="85" spans="1:240" x14ac:dyDescent="0.2">
      <c r="A85" s="5">
        <v>50</v>
      </c>
      <c r="B85" s="5">
        <v>0</v>
      </c>
      <c r="C85" s="5">
        <v>0</v>
      </c>
      <c r="D85" s="5">
        <v>1</v>
      </c>
      <c r="E85" s="5">
        <v>206</v>
      </c>
      <c r="F85" s="5">
        <f>ROUND(Source!T64,O85)</f>
        <v>0</v>
      </c>
      <c r="G85" s="5" t="s">
        <v>84</v>
      </c>
      <c r="H85" s="5" t="s">
        <v>85</v>
      </c>
      <c r="I85" s="5"/>
      <c r="J85" s="5"/>
      <c r="K85" s="5">
        <v>206</v>
      </c>
      <c r="L85" s="5">
        <v>20</v>
      </c>
      <c r="M85" s="5">
        <v>3</v>
      </c>
      <c r="N85" s="5" t="s">
        <v>6</v>
      </c>
      <c r="O85" s="5">
        <v>0</v>
      </c>
      <c r="P85" s="5">
        <f>ROUND(Source!DL64,O85)</f>
        <v>0</v>
      </c>
      <c r="Q85" s="5"/>
      <c r="R85" s="5"/>
      <c r="S85" s="5"/>
      <c r="T85" s="5"/>
      <c r="U85" s="5"/>
      <c r="V85" s="5"/>
      <c r="W85" s="5">
        <v>0</v>
      </c>
      <c r="X85" s="5">
        <v>1</v>
      </c>
      <c r="Y85" s="5">
        <v>0</v>
      </c>
      <c r="Z85" s="5">
        <v>0</v>
      </c>
      <c r="AA85" s="5">
        <v>1</v>
      </c>
      <c r="AB85" s="5">
        <v>0</v>
      </c>
      <c r="IF85">
        <v>-1</v>
      </c>
    </row>
    <row r="86" spans="1:240" x14ac:dyDescent="0.2">
      <c r="A86" s="5">
        <v>50</v>
      </c>
      <c r="B86" s="5">
        <v>0</v>
      </c>
      <c r="C86" s="5">
        <v>0</v>
      </c>
      <c r="D86" s="5">
        <v>1</v>
      </c>
      <c r="E86" s="5">
        <v>207</v>
      </c>
      <c r="F86" s="5">
        <f>Source!U64</f>
        <v>278.18263499999995</v>
      </c>
      <c r="G86" s="5" t="s">
        <v>86</v>
      </c>
      <c r="H86" s="5" t="s">
        <v>87</v>
      </c>
      <c r="I86" s="5"/>
      <c r="J86" s="5"/>
      <c r="K86" s="5">
        <v>207</v>
      </c>
      <c r="L86" s="5">
        <v>21</v>
      </c>
      <c r="M86" s="5">
        <v>3</v>
      </c>
      <c r="N86" s="5" t="s">
        <v>6</v>
      </c>
      <c r="O86" s="5">
        <v>-1</v>
      </c>
      <c r="P86" s="5">
        <f>Source!DM64</f>
        <v>278.18263499999995</v>
      </c>
      <c r="Q86" s="5"/>
      <c r="R86" s="5"/>
      <c r="S86" s="5"/>
      <c r="T86" s="5"/>
      <c r="U86" s="5"/>
      <c r="V86" s="5"/>
      <c r="W86" s="5">
        <v>278.182635</v>
      </c>
      <c r="X86" s="5">
        <v>1</v>
      </c>
      <c r="Y86" s="5">
        <v>278.182635</v>
      </c>
      <c r="Z86" s="5">
        <v>278.182635</v>
      </c>
      <c r="AA86" s="5">
        <v>1</v>
      </c>
      <c r="AB86" s="5">
        <v>278.182635</v>
      </c>
      <c r="IF86">
        <v>-1</v>
      </c>
    </row>
    <row r="87" spans="1:240" x14ac:dyDescent="0.2">
      <c r="A87" s="5">
        <v>50</v>
      </c>
      <c r="B87" s="5">
        <v>0</v>
      </c>
      <c r="C87" s="5">
        <v>0</v>
      </c>
      <c r="D87" s="5">
        <v>1</v>
      </c>
      <c r="E87" s="5">
        <v>208</v>
      </c>
      <c r="F87" s="5">
        <f>Source!V64</f>
        <v>95.796950999999993</v>
      </c>
      <c r="G87" s="5" t="s">
        <v>88</v>
      </c>
      <c r="H87" s="5" t="s">
        <v>89</v>
      </c>
      <c r="I87" s="5"/>
      <c r="J87" s="5"/>
      <c r="K87" s="5">
        <v>208</v>
      </c>
      <c r="L87" s="5">
        <v>22</v>
      </c>
      <c r="M87" s="5">
        <v>3</v>
      </c>
      <c r="N87" s="5" t="s">
        <v>6</v>
      </c>
      <c r="O87" s="5">
        <v>-1</v>
      </c>
      <c r="P87" s="5">
        <f>Source!DN64</f>
        <v>95.796950999999993</v>
      </c>
      <c r="Q87" s="5"/>
      <c r="R87" s="5"/>
      <c r="S87" s="5"/>
      <c r="T87" s="5"/>
      <c r="U87" s="5"/>
      <c r="V87" s="5"/>
      <c r="W87" s="5">
        <v>95.796950999999993</v>
      </c>
      <c r="X87" s="5">
        <v>1</v>
      </c>
      <c r="Y87" s="5">
        <v>95.796950999999993</v>
      </c>
      <c r="Z87" s="5">
        <v>95.796950999999993</v>
      </c>
      <c r="AA87" s="5">
        <v>1</v>
      </c>
      <c r="AB87" s="5">
        <v>95.796950999999993</v>
      </c>
      <c r="IF87">
        <v>-1</v>
      </c>
    </row>
    <row r="88" spans="1:240" x14ac:dyDescent="0.2">
      <c r="A88" s="5">
        <v>50</v>
      </c>
      <c r="B88" s="5">
        <v>0</v>
      </c>
      <c r="C88" s="5">
        <v>0</v>
      </c>
      <c r="D88" s="5">
        <v>1</v>
      </c>
      <c r="E88" s="5">
        <v>209</v>
      </c>
      <c r="F88" s="5">
        <f>ROUND(Source!W64,O88)</f>
        <v>0</v>
      </c>
      <c r="G88" s="5" t="s">
        <v>90</v>
      </c>
      <c r="H88" s="5" t="s">
        <v>91</v>
      </c>
      <c r="I88" s="5"/>
      <c r="J88" s="5"/>
      <c r="K88" s="5">
        <v>209</v>
      </c>
      <c r="L88" s="5">
        <v>23</v>
      </c>
      <c r="M88" s="5">
        <v>3</v>
      </c>
      <c r="N88" s="5" t="s">
        <v>6</v>
      </c>
      <c r="O88" s="5">
        <v>0</v>
      </c>
      <c r="P88" s="5">
        <f>ROUND(Source!DO64,O88)</f>
        <v>0</v>
      </c>
      <c r="Q88" s="5"/>
      <c r="R88" s="5"/>
      <c r="S88" s="5"/>
      <c r="T88" s="5"/>
      <c r="U88" s="5"/>
      <c r="V88" s="5"/>
      <c r="W88" s="5">
        <v>0</v>
      </c>
      <c r="X88" s="5">
        <v>1</v>
      </c>
      <c r="Y88" s="5">
        <v>0</v>
      </c>
      <c r="Z88" s="5">
        <v>0</v>
      </c>
      <c r="AA88" s="5">
        <v>1</v>
      </c>
      <c r="AB88" s="5">
        <v>0</v>
      </c>
      <c r="IF88">
        <v>-1</v>
      </c>
    </row>
    <row r="89" spans="1:240" x14ac:dyDescent="0.2">
      <c r="A89" s="5">
        <v>50</v>
      </c>
      <c r="B89" s="5">
        <v>0</v>
      </c>
      <c r="C89" s="5">
        <v>0</v>
      </c>
      <c r="D89" s="5">
        <v>1</v>
      </c>
      <c r="E89" s="5">
        <v>233</v>
      </c>
      <c r="F89" s="5">
        <f>ROUND(Source!BD64,O89)</f>
        <v>16406</v>
      </c>
      <c r="G89" s="5" t="s">
        <v>92</v>
      </c>
      <c r="H89" s="5" t="s">
        <v>93</v>
      </c>
      <c r="I89" s="5"/>
      <c r="J89" s="5"/>
      <c r="K89" s="5">
        <v>233</v>
      </c>
      <c r="L89" s="5">
        <v>24</v>
      </c>
      <c r="M89" s="5">
        <v>3</v>
      </c>
      <c r="N89" s="5" t="s">
        <v>6</v>
      </c>
      <c r="O89" s="5">
        <v>0</v>
      </c>
      <c r="P89" s="5">
        <f>ROUND(Source!EV64,O89)</f>
        <v>116807</v>
      </c>
      <c r="Q89" s="5"/>
      <c r="R89" s="5"/>
      <c r="S89" s="5"/>
      <c r="T89" s="5"/>
      <c r="U89" s="5"/>
      <c r="V89" s="5"/>
      <c r="W89" s="5">
        <v>16406</v>
      </c>
      <c r="X89" s="5">
        <v>1</v>
      </c>
      <c r="Y89" s="5">
        <v>16406</v>
      </c>
      <c r="Z89" s="5">
        <v>116807</v>
      </c>
      <c r="AA89" s="5">
        <v>1</v>
      </c>
      <c r="AB89" s="5">
        <v>116807</v>
      </c>
      <c r="IF89">
        <v>-1</v>
      </c>
    </row>
    <row r="90" spans="1:240" x14ac:dyDescent="0.2">
      <c r="A90" s="5">
        <v>50</v>
      </c>
      <c r="B90" s="5">
        <v>0</v>
      </c>
      <c r="C90" s="5">
        <v>0</v>
      </c>
      <c r="D90" s="5">
        <v>1</v>
      </c>
      <c r="E90" s="5">
        <v>210</v>
      </c>
      <c r="F90" s="5">
        <f>ROUND(Source!X64,O90)</f>
        <v>3004</v>
      </c>
      <c r="G90" s="5" t="s">
        <v>94</v>
      </c>
      <c r="H90" s="5" t="s">
        <v>95</v>
      </c>
      <c r="I90" s="5"/>
      <c r="J90" s="5"/>
      <c r="K90" s="5">
        <v>210</v>
      </c>
      <c r="L90" s="5">
        <v>25</v>
      </c>
      <c r="M90" s="5">
        <v>3</v>
      </c>
      <c r="N90" s="5" t="s">
        <v>6</v>
      </c>
      <c r="O90" s="5">
        <v>0</v>
      </c>
      <c r="P90" s="5">
        <f>ROUND(Source!DP64,O90)</f>
        <v>63981</v>
      </c>
      <c r="Q90" s="5"/>
      <c r="R90" s="5"/>
      <c r="S90" s="5"/>
      <c r="T90" s="5"/>
      <c r="U90" s="5"/>
      <c r="V90" s="5"/>
      <c r="W90" s="5">
        <v>3004</v>
      </c>
      <c r="X90" s="5">
        <v>1</v>
      </c>
      <c r="Y90" s="5">
        <v>3004</v>
      </c>
      <c r="Z90" s="5">
        <v>63981</v>
      </c>
      <c r="AA90" s="5">
        <v>1</v>
      </c>
      <c r="AB90" s="5">
        <v>63981</v>
      </c>
      <c r="IF90">
        <v>-1</v>
      </c>
    </row>
    <row r="91" spans="1:240" x14ac:dyDescent="0.2">
      <c r="A91" s="5">
        <v>50</v>
      </c>
      <c r="B91" s="5">
        <v>0</v>
      </c>
      <c r="C91" s="5">
        <v>0</v>
      </c>
      <c r="D91" s="5">
        <v>1</v>
      </c>
      <c r="E91" s="5">
        <v>211</v>
      </c>
      <c r="F91" s="5">
        <f>ROUND(Source!Y64,O91)</f>
        <v>1643</v>
      </c>
      <c r="G91" s="5" t="s">
        <v>96</v>
      </c>
      <c r="H91" s="5" t="s">
        <v>97</v>
      </c>
      <c r="I91" s="5"/>
      <c r="J91" s="5"/>
      <c r="K91" s="5">
        <v>211</v>
      </c>
      <c r="L91" s="5">
        <v>26</v>
      </c>
      <c r="M91" s="5">
        <v>3</v>
      </c>
      <c r="N91" s="5" t="s">
        <v>6</v>
      </c>
      <c r="O91" s="5">
        <v>0</v>
      </c>
      <c r="P91" s="5">
        <f>ROUND(Source!DQ64,O91)</f>
        <v>31466</v>
      </c>
      <c r="Q91" s="5"/>
      <c r="R91" s="5"/>
      <c r="S91" s="5"/>
      <c r="T91" s="5"/>
      <c r="U91" s="5"/>
      <c r="V91" s="5"/>
      <c r="W91" s="5">
        <v>1643</v>
      </c>
      <c r="X91" s="5">
        <v>1</v>
      </c>
      <c r="Y91" s="5">
        <v>1643</v>
      </c>
      <c r="Z91" s="5">
        <v>31466</v>
      </c>
      <c r="AA91" s="5">
        <v>1</v>
      </c>
      <c r="AB91" s="5">
        <v>31466</v>
      </c>
      <c r="IF91">
        <v>-1</v>
      </c>
    </row>
    <row r="92" spans="1:240" x14ac:dyDescent="0.2">
      <c r="A92" s="5">
        <v>50</v>
      </c>
      <c r="B92" s="5">
        <v>0</v>
      </c>
      <c r="C92" s="5">
        <v>0</v>
      </c>
      <c r="D92" s="5">
        <v>1</v>
      </c>
      <c r="E92" s="5">
        <v>224</v>
      </c>
      <c r="F92" s="5">
        <f>ROUND(Source!AR64,O92)</f>
        <v>34537</v>
      </c>
      <c r="G92" s="5" t="s">
        <v>98</v>
      </c>
      <c r="H92" s="5" t="s">
        <v>99</v>
      </c>
      <c r="I92" s="5"/>
      <c r="J92" s="5"/>
      <c r="K92" s="5">
        <v>224</v>
      </c>
      <c r="L92" s="5">
        <v>27</v>
      </c>
      <c r="M92" s="5">
        <v>3</v>
      </c>
      <c r="N92" s="5" t="s">
        <v>6</v>
      </c>
      <c r="O92" s="5">
        <v>0</v>
      </c>
      <c r="P92" s="5">
        <f>ROUND(Source!EJ64,O92)</f>
        <v>340109</v>
      </c>
      <c r="Q92" s="5"/>
      <c r="R92" s="5"/>
      <c r="S92" s="5"/>
      <c r="T92" s="5"/>
      <c r="U92" s="5"/>
      <c r="V92" s="5"/>
      <c r="W92" s="5">
        <v>34537</v>
      </c>
      <c r="X92" s="5">
        <v>1</v>
      </c>
      <c r="Y92" s="5">
        <v>34537</v>
      </c>
      <c r="Z92" s="5">
        <v>340109</v>
      </c>
      <c r="AA92" s="5">
        <v>1</v>
      </c>
      <c r="AB92" s="5">
        <v>340109</v>
      </c>
      <c r="IF92">
        <v>-1</v>
      </c>
    </row>
    <row r="93" spans="1:240" x14ac:dyDescent="0.2">
      <c r="IF93">
        <v>-1</v>
      </c>
    </row>
    <row r="94" spans="1:240" x14ac:dyDescent="0.2">
      <c r="IF94">
        <v>-1</v>
      </c>
    </row>
    <row r="95" spans="1:240" x14ac:dyDescent="0.2">
      <c r="A95">
        <v>70</v>
      </c>
      <c r="B95">
        <v>1</v>
      </c>
      <c r="D95">
        <v>1</v>
      </c>
      <c r="E95" t="s">
        <v>100</v>
      </c>
      <c r="F95" t="s">
        <v>101</v>
      </c>
      <c r="G95">
        <v>1</v>
      </c>
      <c r="H95">
        <v>0</v>
      </c>
      <c r="I95" t="s">
        <v>102</v>
      </c>
      <c r="J95">
        <v>0</v>
      </c>
      <c r="K95">
        <v>0</v>
      </c>
      <c r="L95" t="s">
        <v>6</v>
      </c>
      <c r="M95" t="s">
        <v>6</v>
      </c>
      <c r="N95">
        <v>0</v>
      </c>
      <c r="O95">
        <v>1</v>
      </c>
      <c r="P95" t="s">
        <v>103</v>
      </c>
      <c r="IF95">
        <v>-1</v>
      </c>
    </row>
    <row r="96" spans="1:240" x14ac:dyDescent="0.2">
      <c r="A96">
        <v>70</v>
      </c>
      <c r="B96">
        <v>1</v>
      </c>
      <c r="D96">
        <v>2</v>
      </c>
      <c r="E96" t="s">
        <v>104</v>
      </c>
      <c r="F96" t="s">
        <v>105</v>
      </c>
      <c r="G96">
        <v>0</v>
      </c>
      <c r="H96">
        <v>0</v>
      </c>
      <c r="I96" t="s">
        <v>102</v>
      </c>
      <c r="J96">
        <v>0</v>
      </c>
      <c r="K96">
        <v>0</v>
      </c>
      <c r="L96" t="s">
        <v>6</v>
      </c>
      <c r="M96" t="s">
        <v>6</v>
      </c>
      <c r="N96">
        <v>0</v>
      </c>
      <c r="O96">
        <v>0</v>
      </c>
      <c r="P96" t="s">
        <v>106</v>
      </c>
      <c r="IF96">
        <v>-1</v>
      </c>
    </row>
    <row r="97" spans="1:240" x14ac:dyDescent="0.2">
      <c r="A97">
        <v>70</v>
      </c>
      <c r="B97">
        <v>1</v>
      </c>
      <c r="D97">
        <v>3</v>
      </c>
      <c r="E97" t="s">
        <v>107</v>
      </c>
      <c r="F97" t="s">
        <v>108</v>
      </c>
      <c r="G97">
        <v>0</v>
      </c>
      <c r="H97">
        <v>0</v>
      </c>
      <c r="I97" t="s">
        <v>102</v>
      </c>
      <c r="J97">
        <v>0</v>
      </c>
      <c r="K97">
        <v>0</v>
      </c>
      <c r="L97" t="s">
        <v>6</v>
      </c>
      <c r="M97" t="s">
        <v>6</v>
      </c>
      <c r="N97">
        <v>0</v>
      </c>
      <c r="O97">
        <v>0</v>
      </c>
      <c r="P97" t="s">
        <v>109</v>
      </c>
      <c r="IF97">
        <v>-1</v>
      </c>
    </row>
    <row r="98" spans="1:240" x14ac:dyDescent="0.2">
      <c r="A98">
        <v>70</v>
      </c>
      <c r="B98">
        <v>1</v>
      </c>
      <c r="D98">
        <v>4</v>
      </c>
      <c r="E98" t="s">
        <v>110</v>
      </c>
      <c r="F98" t="s">
        <v>111</v>
      </c>
      <c r="G98">
        <v>0</v>
      </c>
      <c r="H98">
        <v>0</v>
      </c>
      <c r="I98" t="s">
        <v>102</v>
      </c>
      <c r="J98">
        <v>0</v>
      </c>
      <c r="K98">
        <v>0</v>
      </c>
      <c r="L98" t="s">
        <v>6</v>
      </c>
      <c r="M98" t="s">
        <v>6</v>
      </c>
      <c r="N98">
        <v>0</v>
      </c>
      <c r="O98">
        <v>0</v>
      </c>
      <c r="P98" t="s">
        <v>112</v>
      </c>
      <c r="IF98">
        <v>-1</v>
      </c>
    </row>
    <row r="99" spans="1:240" x14ac:dyDescent="0.2">
      <c r="A99">
        <v>70</v>
      </c>
      <c r="B99">
        <v>1</v>
      </c>
      <c r="D99">
        <v>5</v>
      </c>
      <c r="E99" t="s">
        <v>113</v>
      </c>
      <c r="F99" t="s">
        <v>114</v>
      </c>
      <c r="G99">
        <v>0</v>
      </c>
      <c r="H99">
        <v>0</v>
      </c>
      <c r="I99" t="s">
        <v>102</v>
      </c>
      <c r="J99">
        <v>0</v>
      </c>
      <c r="K99">
        <v>0</v>
      </c>
      <c r="L99" t="s">
        <v>6</v>
      </c>
      <c r="M99" t="s">
        <v>6</v>
      </c>
      <c r="N99">
        <v>0</v>
      </c>
      <c r="O99">
        <v>0</v>
      </c>
      <c r="P99" t="s">
        <v>115</v>
      </c>
      <c r="IF99">
        <v>-1</v>
      </c>
    </row>
    <row r="100" spans="1:240" x14ac:dyDescent="0.2">
      <c r="A100">
        <v>70</v>
      </c>
      <c r="B100">
        <v>1</v>
      </c>
      <c r="D100">
        <v>6</v>
      </c>
      <c r="E100" t="s">
        <v>116</v>
      </c>
      <c r="F100" t="s">
        <v>117</v>
      </c>
      <c r="G100">
        <v>0</v>
      </c>
      <c r="H100">
        <v>0</v>
      </c>
      <c r="I100" t="s">
        <v>102</v>
      </c>
      <c r="J100">
        <v>0</v>
      </c>
      <c r="K100">
        <v>0</v>
      </c>
      <c r="L100" t="s">
        <v>6</v>
      </c>
      <c r="M100" t="s">
        <v>6</v>
      </c>
      <c r="N100">
        <v>0</v>
      </c>
      <c r="O100">
        <v>0</v>
      </c>
      <c r="P100" t="s">
        <v>118</v>
      </c>
      <c r="IF100">
        <v>-1</v>
      </c>
    </row>
    <row r="101" spans="1:240" x14ac:dyDescent="0.2">
      <c r="A101">
        <v>70</v>
      </c>
      <c r="B101">
        <v>1</v>
      </c>
      <c r="D101">
        <v>7</v>
      </c>
      <c r="E101" t="s">
        <v>119</v>
      </c>
      <c r="F101" t="s">
        <v>120</v>
      </c>
      <c r="G101">
        <v>0</v>
      </c>
      <c r="H101">
        <v>0</v>
      </c>
      <c r="I101" t="s">
        <v>102</v>
      </c>
      <c r="J101">
        <v>0</v>
      </c>
      <c r="K101">
        <v>0</v>
      </c>
      <c r="L101" t="s">
        <v>6</v>
      </c>
      <c r="M101" t="s">
        <v>6</v>
      </c>
      <c r="N101">
        <v>0</v>
      </c>
      <c r="O101">
        <v>0</v>
      </c>
      <c r="P101" t="s">
        <v>121</v>
      </c>
      <c r="IF101">
        <v>-1</v>
      </c>
    </row>
    <row r="102" spans="1:240" x14ac:dyDescent="0.2">
      <c r="A102">
        <v>70</v>
      </c>
      <c r="B102">
        <v>1</v>
      </c>
      <c r="D102">
        <v>8</v>
      </c>
      <c r="E102" t="s">
        <v>122</v>
      </c>
      <c r="F102" t="s">
        <v>123</v>
      </c>
      <c r="G102">
        <v>0</v>
      </c>
      <c r="H102">
        <v>0</v>
      </c>
      <c r="I102" t="s">
        <v>102</v>
      </c>
      <c r="J102">
        <v>0</v>
      </c>
      <c r="K102">
        <v>0</v>
      </c>
      <c r="L102" t="s">
        <v>6</v>
      </c>
      <c r="M102" t="s">
        <v>6</v>
      </c>
      <c r="N102">
        <v>0</v>
      </c>
      <c r="O102">
        <v>0</v>
      </c>
      <c r="P102" t="s">
        <v>124</v>
      </c>
      <c r="IF102">
        <v>-1</v>
      </c>
    </row>
    <row r="103" spans="1:240" x14ac:dyDescent="0.2">
      <c r="A103">
        <v>70</v>
      </c>
      <c r="B103">
        <v>1</v>
      </c>
      <c r="D103">
        <v>9</v>
      </c>
      <c r="E103" t="s">
        <v>125</v>
      </c>
      <c r="F103" t="s">
        <v>126</v>
      </c>
      <c r="G103">
        <v>0</v>
      </c>
      <c r="H103">
        <v>0</v>
      </c>
      <c r="I103" t="s">
        <v>102</v>
      </c>
      <c r="J103">
        <v>0</v>
      </c>
      <c r="K103">
        <v>0</v>
      </c>
      <c r="L103" t="s">
        <v>6</v>
      </c>
      <c r="M103" t="s">
        <v>6</v>
      </c>
      <c r="N103">
        <v>0</v>
      </c>
      <c r="O103">
        <v>0</v>
      </c>
      <c r="P103" t="s">
        <v>127</v>
      </c>
      <c r="IF103">
        <v>-1</v>
      </c>
    </row>
    <row r="104" spans="1:240" x14ac:dyDescent="0.2">
      <c r="A104">
        <v>70</v>
      </c>
      <c r="B104">
        <v>1</v>
      </c>
      <c r="D104">
        <v>1</v>
      </c>
      <c r="E104" t="s">
        <v>128</v>
      </c>
      <c r="F104" t="s">
        <v>129</v>
      </c>
      <c r="G104">
        <v>1</v>
      </c>
      <c r="H104">
        <v>1</v>
      </c>
      <c r="I104" t="s">
        <v>102</v>
      </c>
      <c r="J104">
        <v>0</v>
      </c>
      <c r="K104">
        <v>0</v>
      </c>
      <c r="L104" t="s">
        <v>6</v>
      </c>
      <c r="M104" t="s">
        <v>6</v>
      </c>
      <c r="N104">
        <v>0</v>
      </c>
      <c r="O104">
        <v>1</v>
      </c>
      <c r="P104" t="s">
        <v>129</v>
      </c>
      <c r="IF104">
        <v>-1</v>
      </c>
    </row>
    <row r="105" spans="1:240" x14ac:dyDescent="0.2">
      <c r="A105">
        <v>70</v>
      </c>
      <c r="B105">
        <v>1</v>
      </c>
      <c r="D105">
        <v>2</v>
      </c>
      <c r="E105" t="s">
        <v>130</v>
      </c>
      <c r="F105" t="s">
        <v>131</v>
      </c>
      <c r="G105">
        <v>1</v>
      </c>
      <c r="H105">
        <v>1</v>
      </c>
      <c r="I105" t="s">
        <v>102</v>
      </c>
      <c r="J105">
        <v>0</v>
      </c>
      <c r="K105">
        <v>0</v>
      </c>
      <c r="L105" t="s">
        <v>6</v>
      </c>
      <c r="M105" t="s">
        <v>6</v>
      </c>
      <c r="N105">
        <v>0</v>
      </c>
      <c r="O105">
        <v>1</v>
      </c>
      <c r="P105" t="s">
        <v>131</v>
      </c>
      <c r="IF105">
        <v>-1</v>
      </c>
    </row>
    <row r="106" spans="1:240" x14ac:dyDescent="0.2">
      <c r="A106">
        <v>70</v>
      </c>
      <c r="B106">
        <v>1</v>
      </c>
      <c r="D106">
        <v>3</v>
      </c>
      <c r="E106" t="s">
        <v>132</v>
      </c>
      <c r="F106" t="s">
        <v>133</v>
      </c>
      <c r="G106">
        <v>1</v>
      </c>
      <c r="H106">
        <v>0</v>
      </c>
      <c r="I106" t="s">
        <v>102</v>
      </c>
      <c r="J106">
        <v>0</v>
      </c>
      <c r="K106">
        <v>0</v>
      </c>
      <c r="L106" t="s">
        <v>6</v>
      </c>
      <c r="M106" t="s">
        <v>6</v>
      </c>
      <c r="N106">
        <v>0</v>
      </c>
      <c r="O106">
        <v>1</v>
      </c>
      <c r="P106" t="s">
        <v>133</v>
      </c>
      <c r="IF106">
        <v>-1</v>
      </c>
    </row>
    <row r="107" spans="1:240" x14ac:dyDescent="0.2">
      <c r="A107">
        <v>70</v>
      </c>
      <c r="B107">
        <v>1</v>
      </c>
      <c r="D107">
        <v>4</v>
      </c>
      <c r="E107" t="s">
        <v>134</v>
      </c>
      <c r="F107" t="s">
        <v>135</v>
      </c>
      <c r="G107">
        <v>1</v>
      </c>
      <c r="H107">
        <v>0</v>
      </c>
      <c r="I107" t="s">
        <v>102</v>
      </c>
      <c r="J107">
        <v>0</v>
      </c>
      <c r="K107">
        <v>0</v>
      </c>
      <c r="L107" t="s">
        <v>6</v>
      </c>
      <c r="M107" t="s">
        <v>6</v>
      </c>
      <c r="N107">
        <v>0</v>
      </c>
      <c r="O107">
        <v>1</v>
      </c>
      <c r="P107" t="s">
        <v>135</v>
      </c>
      <c r="IF107">
        <v>-1</v>
      </c>
    </row>
    <row r="108" spans="1:240" x14ac:dyDescent="0.2">
      <c r="A108">
        <v>70</v>
      </c>
      <c r="B108">
        <v>1</v>
      </c>
      <c r="D108">
        <v>5</v>
      </c>
      <c r="E108" t="s">
        <v>136</v>
      </c>
      <c r="F108" t="s">
        <v>137</v>
      </c>
      <c r="G108">
        <v>1</v>
      </c>
      <c r="H108">
        <v>0</v>
      </c>
      <c r="I108" t="s">
        <v>102</v>
      </c>
      <c r="J108">
        <v>0</v>
      </c>
      <c r="K108">
        <v>0</v>
      </c>
      <c r="L108" t="s">
        <v>6</v>
      </c>
      <c r="M108" t="s">
        <v>6</v>
      </c>
      <c r="N108">
        <v>0</v>
      </c>
      <c r="O108">
        <v>0.85</v>
      </c>
      <c r="P108" t="s">
        <v>137</v>
      </c>
      <c r="IF108">
        <v>-1</v>
      </c>
    </row>
    <row r="109" spans="1:240" x14ac:dyDescent="0.2">
      <c r="A109">
        <v>70</v>
      </c>
      <c r="B109">
        <v>1</v>
      </c>
      <c r="D109">
        <v>6</v>
      </c>
      <c r="E109" t="s">
        <v>138</v>
      </c>
      <c r="F109" t="s">
        <v>139</v>
      </c>
      <c r="G109">
        <v>1</v>
      </c>
      <c r="H109">
        <v>0</v>
      </c>
      <c r="I109" t="s">
        <v>102</v>
      </c>
      <c r="J109">
        <v>0</v>
      </c>
      <c r="K109">
        <v>0</v>
      </c>
      <c r="L109" t="s">
        <v>6</v>
      </c>
      <c r="M109" t="s">
        <v>6</v>
      </c>
      <c r="N109">
        <v>0</v>
      </c>
      <c r="O109">
        <v>0.8</v>
      </c>
      <c r="P109" t="s">
        <v>139</v>
      </c>
      <c r="IF109">
        <v>-1</v>
      </c>
    </row>
    <row r="110" spans="1:240" x14ac:dyDescent="0.2">
      <c r="A110">
        <v>70</v>
      </c>
      <c r="B110">
        <v>1</v>
      </c>
      <c r="D110">
        <v>7</v>
      </c>
      <c r="E110" t="s">
        <v>140</v>
      </c>
      <c r="F110" t="s">
        <v>141</v>
      </c>
      <c r="G110">
        <v>1</v>
      </c>
      <c r="H110">
        <v>0</v>
      </c>
      <c r="I110" t="s">
        <v>102</v>
      </c>
      <c r="J110">
        <v>0</v>
      </c>
      <c r="K110">
        <v>0</v>
      </c>
      <c r="L110" t="s">
        <v>6</v>
      </c>
      <c r="M110" t="s">
        <v>6</v>
      </c>
      <c r="N110">
        <v>0</v>
      </c>
      <c r="O110">
        <v>1</v>
      </c>
      <c r="P110" t="s">
        <v>141</v>
      </c>
      <c r="IF110">
        <v>-1</v>
      </c>
    </row>
    <row r="111" spans="1:240" x14ac:dyDescent="0.2">
      <c r="A111">
        <v>70</v>
      </c>
      <c r="B111">
        <v>1</v>
      </c>
      <c r="D111">
        <v>8</v>
      </c>
      <c r="E111" t="s">
        <v>142</v>
      </c>
      <c r="F111" t="s">
        <v>143</v>
      </c>
      <c r="G111">
        <v>1</v>
      </c>
      <c r="H111">
        <v>0.8</v>
      </c>
      <c r="I111" t="s">
        <v>102</v>
      </c>
      <c r="J111">
        <v>0</v>
      </c>
      <c r="K111">
        <v>0</v>
      </c>
      <c r="L111" t="s">
        <v>6</v>
      </c>
      <c r="M111" t="s">
        <v>6</v>
      </c>
      <c r="N111">
        <v>0</v>
      </c>
      <c r="O111">
        <v>1</v>
      </c>
      <c r="P111" t="s">
        <v>143</v>
      </c>
      <c r="IF111">
        <v>-1</v>
      </c>
    </row>
    <row r="112" spans="1:240" x14ac:dyDescent="0.2">
      <c r="A112">
        <v>70</v>
      </c>
      <c r="B112">
        <v>1</v>
      </c>
      <c r="D112">
        <v>9</v>
      </c>
      <c r="E112" t="s">
        <v>144</v>
      </c>
      <c r="F112" t="s">
        <v>145</v>
      </c>
      <c r="G112">
        <v>1</v>
      </c>
      <c r="H112">
        <v>0.85</v>
      </c>
      <c r="I112" t="s">
        <v>102</v>
      </c>
      <c r="J112">
        <v>0</v>
      </c>
      <c r="K112">
        <v>0</v>
      </c>
      <c r="L112" t="s">
        <v>6</v>
      </c>
      <c r="M112" t="s">
        <v>6</v>
      </c>
      <c r="N112">
        <v>0</v>
      </c>
      <c r="O112">
        <v>1</v>
      </c>
      <c r="P112" t="s">
        <v>145</v>
      </c>
      <c r="IF112">
        <v>-1</v>
      </c>
    </row>
    <row r="113" spans="1:240" x14ac:dyDescent="0.2">
      <c r="A113">
        <v>70</v>
      </c>
      <c r="B113">
        <v>1</v>
      </c>
      <c r="D113">
        <v>10</v>
      </c>
      <c r="E113" t="s">
        <v>146</v>
      </c>
      <c r="F113" t="s">
        <v>147</v>
      </c>
      <c r="G113">
        <v>1</v>
      </c>
      <c r="H113">
        <v>0</v>
      </c>
      <c r="I113" t="s">
        <v>102</v>
      </c>
      <c r="J113">
        <v>0</v>
      </c>
      <c r="K113">
        <v>0</v>
      </c>
      <c r="L113" t="s">
        <v>6</v>
      </c>
      <c r="M113" t="s">
        <v>6</v>
      </c>
      <c r="N113">
        <v>0</v>
      </c>
      <c r="O113">
        <v>1</v>
      </c>
      <c r="P113" t="s">
        <v>147</v>
      </c>
      <c r="IF113">
        <v>-1</v>
      </c>
    </row>
    <row r="114" spans="1:240" x14ac:dyDescent="0.2">
      <c r="A114">
        <v>70</v>
      </c>
      <c r="B114">
        <v>1</v>
      </c>
      <c r="D114">
        <v>11</v>
      </c>
      <c r="E114" t="s">
        <v>148</v>
      </c>
      <c r="F114" t="s">
        <v>149</v>
      </c>
      <c r="G114">
        <v>0.7</v>
      </c>
      <c r="H114">
        <v>0</v>
      </c>
      <c r="I114" t="s">
        <v>102</v>
      </c>
      <c r="J114">
        <v>0</v>
      </c>
      <c r="K114">
        <v>0</v>
      </c>
      <c r="L114" t="s">
        <v>6</v>
      </c>
      <c r="M114" t="s">
        <v>6</v>
      </c>
      <c r="N114">
        <v>0</v>
      </c>
      <c r="O114">
        <v>0.94</v>
      </c>
      <c r="P114" t="s">
        <v>149</v>
      </c>
      <c r="IF114">
        <v>-1</v>
      </c>
    </row>
    <row r="115" spans="1:240" x14ac:dyDescent="0.2">
      <c r="A115">
        <v>70</v>
      </c>
      <c r="B115">
        <v>1</v>
      </c>
      <c r="D115">
        <v>12</v>
      </c>
      <c r="E115" t="s">
        <v>150</v>
      </c>
      <c r="F115" t="s">
        <v>151</v>
      </c>
      <c r="G115">
        <v>0.9</v>
      </c>
      <c r="H115">
        <v>0</v>
      </c>
      <c r="I115" t="s">
        <v>102</v>
      </c>
      <c r="J115">
        <v>0</v>
      </c>
      <c r="K115">
        <v>0</v>
      </c>
      <c r="L115" t="s">
        <v>6</v>
      </c>
      <c r="M115" t="s">
        <v>6</v>
      </c>
      <c r="N115">
        <v>0</v>
      </c>
      <c r="O115">
        <v>0.9</v>
      </c>
      <c r="P115" t="s">
        <v>151</v>
      </c>
      <c r="IF115">
        <v>-1</v>
      </c>
    </row>
    <row r="116" spans="1:240" x14ac:dyDescent="0.2">
      <c r="A116">
        <v>70</v>
      </c>
      <c r="B116">
        <v>1</v>
      </c>
      <c r="D116">
        <v>13</v>
      </c>
      <c r="E116" t="s">
        <v>152</v>
      </c>
      <c r="F116" t="s">
        <v>153</v>
      </c>
      <c r="G116">
        <v>0.6</v>
      </c>
      <c r="H116">
        <v>0</v>
      </c>
      <c r="I116" t="s">
        <v>102</v>
      </c>
      <c r="J116">
        <v>0</v>
      </c>
      <c r="K116">
        <v>0</v>
      </c>
      <c r="L116" t="s">
        <v>6</v>
      </c>
      <c r="M116" t="s">
        <v>6</v>
      </c>
      <c r="N116">
        <v>0</v>
      </c>
      <c r="O116">
        <v>0.6</v>
      </c>
      <c r="P116" t="s">
        <v>153</v>
      </c>
      <c r="IF116">
        <v>-1</v>
      </c>
    </row>
    <row r="117" spans="1:240" x14ac:dyDescent="0.2">
      <c r="A117">
        <v>70</v>
      </c>
      <c r="B117">
        <v>1</v>
      </c>
      <c r="D117">
        <v>14</v>
      </c>
      <c r="E117" t="s">
        <v>154</v>
      </c>
      <c r="F117" t="s">
        <v>155</v>
      </c>
      <c r="G117">
        <v>1</v>
      </c>
      <c r="H117">
        <v>0</v>
      </c>
      <c r="I117" t="s">
        <v>102</v>
      </c>
      <c r="J117">
        <v>0</v>
      </c>
      <c r="K117">
        <v>0</v>
      </c>
      <c r="L117" t="s">
        <v>6</v>
      </c>
      <c r="M117" t="s">
        <v>6</v>
      </c>
      <c r="N117">
        <v>0</v>
      </c>
      <c r="O117">
        <v>1</v>
      </c>
      <c r="P117" t="s">
        <v>155</v>
      </c>
      <c r="IF117">
        <v>-1</v>
      </c>
    </row>
    <row r="118" spans="1:240" x14ac:dyDescent="0.2">
      <c r="A118">
        <v>70</v>
      </c>
      <c r="B118">
        <v>1</v>
      </c>
      <c r="D118">
        <v>15</v>
      </c>
      <c r="E118" t="s">
        <v>156</v>
      </c>
      <c r="F118" t="s">
        <v>157</v>
      </c>
      <c r="G118">
        <v>1.2</v>
      </c>
      <c r="H118">
        <v>0</v>
      </c>
      <c r="I118" t="s">
        <v>102</v>
      </c>
      <c r="J118">
        <v>0</v>
      </c>
      <c r="K118">
        <v>0</v>
      </c>
      <c r="L118" t="s">
        <v>6</v>
      </c>
      <c r="M118" t="s">
        <v>6</v>
      </c>
      <c r="N118">
        <v>0</v>
      </c>
      <c r="O118">
        <v>1.2</v>
      </c>
      <c r="P118" t="s">
        <v>157</v>
      </c>
      <c r="IF118">
        <v>-1</v>
      </c>
    </row>
    <row r="119" spans="1:240" x14ac:dyDescent="0.2">
      <c r="A119">
        <v>70</v>
      </c>
      <c r="B119">
        <v>1</v>
      </c>
      <c r="D119">
        <v>16</v>
      </c>
      <c r="E119" t="s">
        <v>158</v>
      </c>
      <c r="F119" t="s">
        <v>159</v>
      </c>
      <c r="G119">
        <v>1</v>
      </c>
      <c r="H119">
        <v>0</v>
      </c>
      <c r="I119" t="s">
        <v>102</v>
      </c>
      <c r="J119">
        <v>0</v>
      </c>
      <c r="K119">
        <v>0</v>
      </c>
      <c r="L119" t="s">
        <v>6</v>
      </c>
      <c r="M119" t="s">
        <v>6</v>
      </c>
      <c r="N119">
        <v>0</v>
      </c>
      <c r="O119">
        <v>1</v>
      </c>
      <c r="P119" t="s">
        <v>159</v>
      </c>
      <c r="IF119">
        <v>-1</v>
      </c>
    </row>
    <row r="120" spans="1:240" x14ac:dyDescent="0.2">
      <c r="A120">
        <v>70</v>
      </c>
      <c r="B120">
        <v>1</v>
      </c>
      <c r="D120">
        <v>17</v>
      </c>
      <c r="E120" t="s">
        <v>160</v>
      </c>
      <c r="F120" t="s">
        <v>161</v>
      </c>
      <c r="G120">
        <v>1</v>
      </c>
      <c r="H120">
        <v>0</v>
      </c>
      <c r="I120" t="s">
        <v>102</v>
      </c>
      <c r="J120">
        <v>0</v>
      </c>
      <c r="K120">
        <v>0</v>
      </c>
      <c r="L120" t="s">
        <v>6</v>
      </c>
      <c r="M120" t="s">
        <v>6</v>
      </c>
      <c r="N120">
        <v>0</v>
      </c>
      <c r="O120">
        <v>1</v>
      </c>
      <c r="P120" t="s">
        <v>161</v>
      </c>
      <c r="IF120">
        <v>-1</v>
      </c>
    </row>
    <row r="121" spans="1:240" x14ac:dyDescent="0.2">
      <c r="A121">
        <v>70</v>
      </c>
      <c r="B121">
        <v>1</v>
      </c>
      <c r="D121">
        <v>18</v>
      </c>
      <c r="E121" t="s">
        <v>162</v>
      </c>
      <c r="F121" t="s">
        <v>163</v>
      </c>
      <c r="G121">
        <v>1</v>
      </c>
      <c r="H121">
        <v>0</v>
      </c>
      <c r="I121" t="s">
        <v>102</v>
      </c>
      <c r="J121">
        <v>0</v>
      </c>
      <c r="K121">
        <v>0</v>
      </c>
      <c r="L121" t="s">
        <v>6</v>
      </c>
      <c r="M121" t="s">
        <v>6</v>
      </c>
      <c r="N121">
        <v>0</v>
      </c>
      <c r="O121">
        <v>1</v>
      </c>
      <c r="P121" t="s">
        <v>163</v>
      </c>
      <c r="IF121">
        <v>-1</v>
      </c>
    </row>
    <row r="122" spans="1:240" x14ac:dyDescent="0.2">
      <c r="A122">
        <v>70</v>
      </c>
      <c r="B122">
        <v>1</v>
      </c>
      <c r="D122">
        <v>19</v>
      </c>
      <c r="E122" t="s">
        <v>164</v>
      </c>
      <c r="F122" t="s">
        <v>161</v>
      </c>
      <c r="G122">
        <v>1</v>
      </c>
      <c r="H122">
        <v>0</v>
      </c>
      <c r="I122" t="s">
        <v>102</v>
      </c>
      <c r="J122">
        <v>0</v>
      </c>
      <c r="K122">
        <v>0</v>
      </c>
      <c r="L122" t="s">
        <v>6</v>
      </c>
      <c r="M122" t="s">
        <v>6</v>
      </c>
      <c r="N122">
        <v>0</v>
      </c>
      <c r="O122">
        <v>1</v>
      </c>
      <c r="P122" t="s">
        <v>161</v>
      </c>
      <c r="IF122">
        <v>-1</v>
      </c>
    </row>
    <row r="123" spans="1:240" x14ac:dyDescent="0.2">
      <c r="A123">
        <v>70</v>
      </c>
      <c r="B123">
        <v>1</v>
      </c>
      <c r="D123">
        <v>20</v>
      </c>
      <c r="E123" t="s">
        <v>165</v>
      </c>
      <c r="F123" t="s">
        <v>163</v>
      </c>
      <c r="G123">
        <v>1</v>
      </c>
      <c r="H123">
        <v>0</v>
      </c>
      <c r="I123" t="s">
        <v>102</v>
      </c>
      <c r="J123">
        <v>0</v>
      </c>
      <c r="K123">
        <v>0</v>
      </c>
      <c r="L123" t="s">
        <v>6</v>
      </c>
      <c r="M123" t="s">
        <v>6</v>
      </c>
      <c r="N123">
        <v>0</v>
      </c>
      <c r="O123">
        <v>1</v>
      </c>
      <c r="P123" t="s">
        <v>163</v>
      </c>
      <c r="IF123">
        <v>-1</v>
      </c>
    </row>
    <row r="124" spans="1:240" x14ac:dyDescent="0.2">
      <c r="A124">
        <v>70</v>
      </c>
      <c r="B124">
        <v>1</v>
      </c>
      <c r="D124">
        <v>21</v>
      </c>
      <c r="E124" t="s">
        <v>166</v>
      </c>
      <c r="F124" t="s">
        <v>167</v>
      </c>
      <c r="G124">
        <v>0</v>
      </c>
      <c r="H124">
        <v>0</v>
      </c>
      <c r="I124" t="s">
        <v>102</v>
      </c>
      <c r="J124">
        <v>0</v>
      </c>
      <c r="K124">
        <v>0</v>
      </c>
      <c r="L124" t="s">
        <v>6</v>
      </c>
      <c r="M124" t="s">
        <v>6</v>
      </c>
      <c r="N124">
        <v>0</v>
      </c>
      <c r="O124">
        <v>0</v>
      </c>
      <c r="P124" t="s">
        <v>167</v>
      </c>
      <c r="IF124">
        <v>-1</v>
      </c>
    </row>
    <row r="125" spans="1:240" x14ac:dyDescent="0.2">
      <c r="IF125">
        <v>-1</v>
      </c>
    </row>
    <row r="126" spans="1:240" x14ac:dyDescent="0.2">
      <c r="A126">
        <v>-1</v>
      </c>
      <c r="IF126">
        <v>-1</v>
      </c>
    </row>
    <row r="127" spans="1:240" x14ac:dyDescent="0.2">
      <c r="IF127">
        <v>-1</v>
      </c>
    </row>
    <row r="128" spans="1:240" x14ac:dyDescent="0.2">
      <c r="A128" s="4">
        <v>75</v>
      </c>
      <c r="B128" s="4" t="s">
        <v>168</v>
      </c>
      <c r="C128" s="4">
        <v>2000</v>
      </c>
      <c r="D128" s="4">
        <v>0</v>
      </c>
      <c r="E128" s="4">
        <v>1</v>
      </c>
      <c r="F128" s="4"/>
      <c r="G128" s="4">
        <v>0</v>
      </c>
      <c r="H128" s="4">
        <v>1</v>
      </c>
      <c r="I128" s="4">
        <v>0</v>
      </c>
      <c r="J128" s="4">
        <v>4</v>
      </c>
      <c r="K128" s="4">
        <v>0</v>
      </c>
      <c r="L128" s="4">
        <v>0</v>
      </c>
      <c r="M128" s="4">
        <v>0</v>
      </c>
      <c r="N128" s="4">
        <v>62803415</v>
      </c>
      <c r="O128" s="4">
        <v>1</v>
      </c>
      <c r="IF128">
        <v>-1</v>
      </c>
    </row>
    <row r="129" spans="1:240" x14ac:dyDescent="0.2">
      <c r="A129" s="4">
        <v>75</v>
      </c>
      <c r="B129" s="4" t="s">
        <v>169</v>
      </c>
      <c r="C129" s="4">
        <v>2023</v>
      </c>
      <c r="D129" s="4">
        <v>1</v>
      </c>
      <c r="E129" s="4">
        <v>0</v>
      </c>
      <c r="F129" s="4"/>
      <c r="G129" s="4">
        <v>0</v>
      </c>
      <c r="H129" s="4">
        <v>2</v>
      </c>
      <c r="I129" s="4">
        <v>0</v>
      </c>
      <c r="J129" s="4">
        <v>3</v>
      </c>
      <c r="K129" s="4">
        <v>0</v>
      </c>
      <c r="L129" s="4">
        <v>0</v>
      </c>
      <c r="M129" s="4">
        <v>1</v>
      </c>
      <c r="N129" s="4">
        <v>62803416</v>
      </c>
      <c r="O129" s="4">
        <v>2</v>
      </c>
      <c r="IF129">
        <v>-1</v>
      </c>
    </row>
    <row r="130" spans="1:240" x14ac:dyDescent="0.2">
      <c r="A130" s="6">
        <v>1</v>
      </c>
      <c r="B130" s="6" t="s">
        <v>170</v>
      </c>
      <c r="C130" s="6" t="s">
        <v>171</v>
      </c>
      <c r="D130" s="6">
        <v>2023</v>
      </c>
      <c r="E130" s="6">
        <v>3</v>
      </c>
      <c r="F130" s="6">
        <v>1</v>
      </c>
      <c r="G130" s="6">
        <v>1</v>
      </c>
      <c r="H130" s="6">
        <v>0</v>
      </c>
      <c r="I130" s="6">
        <v>2</v>
      </c>
      <c r="J130" s="6">
        <v>1</v>
      </c>
      <c r="K130" s="6">
        <v>7.56</v>
      </c>
      <c r="L130" s="6">
        <v>4.83</v>
      </c>
      <c r="M130" s="6">
        <v>1</v>
      </c>
      <c r="N130" s="6">
        <v>1</v>
      </c>
      <c r="O130" s="6">
        <v>7.56</v>
      </c>
      <c r="P130" s="6">
        <v>4.83</v>
      </c>
      <c r="Q130" s="6">
        <v>1</v>
      </c>
      <c r="R130" s="6" t="s">
        <v>6</v>
      </c>
      <c r="S130" s="6" t="s">
        <v>6</v>
      </c>
      <c r="T130" s="6" t="s">
        <v>6</v>
      </c>
      <c r="U130" s="6" t="s">
        <v>6</v>
      </c>
      <c r="V130" s="6" t="s">
        <v>6</v>
      </c>
      <c r="W130" s="6" t="s">
        <v>6</v>
      </c>
      <c r="X130" s="6" t="s">
        <v>6</v>
      </c>
      <c r="Y130" s="6" t="s">
        <v>6</v>
      </c>
      <c r="Z130" s="6" t="s">
        <v>6</v>
      </c>
      <c r="AA130" s="6" t="s">
        <v>6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>
        <v>62803417</v>
      </c>
      <c r="IF130">
        <v>-1</v>
      </c>
    </row>
    <row r="131" spans="1:240" x14ac:dyDescent="0.2">
      <c r="IF131">
        <v>-1</v>
      </c>
    </row>
    <row r="132" spans="1:240" x14ac:dyDescent="0.2">
      <c r="IF132">
        <v>-1</v>
      </c>
    </row>
    <row r="133" spans="1:240" x14ac:dyDescent="0.2">
      <c r="IF133">
        <v>-1</v>
      </c>
    </row>
    <row r="134" spans="1:240" x14ac:dyDescent="0.2">
      <c r="A134">
        <v>65</v>
      </c>
      <c r="C134">
        <v>1</v>
      </c>
      <c r="D134">
        <v>0</v>
      </c>
      <c r="E134">
        <v>245</v>
      </c>
      <c r="IF134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172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17628643</v>
      </c>
      <c r="N1">
        <v>11</v>
      </c>
      <c r="O1">
        <v>5</v>
      </c>
      <c r="P1">
        <v>3</v>
      </c>
      <c r="Q1">
        <v>2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7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10</v>
      </c>
      <c r="CA12" s="1" t="s">
        <v>6</v>
      </c>
      <c r="CB12" s="1" t="s">
        <v>11</v>
      </c>
      <c r="CC12" s="1" t="s">
        <v>11</v>
      </c>
      <c r="CD12" s="1" t="s">
        <v>12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62803415</v>
      </c>
      <c r="E14" s="1">
        <v>62803416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0</v>
      </c>
      <c r="C16" s="7" t="s">
        <v>14</v>
      </c>
      <c r="D16" s="7" t="s">
        <v>15</v>
      </c>
      <c r="E16" s="8">
        <f>ROUND((Source!F51)/1000,2)</f>
        <v>34.54</v>
      </c>
      <c r="F16" s="8">
        <f>ROUND((Source!F52)/1000,2)</f>
        <v>0</v>
      </c>
      <c r="G16" s="8">
        <f>ROUND((Source!F43)/1000,2)</f>
        <v>0</v>
      </c>
      <c r="H16" s="8">
        <f>ROUND((Source!F53)/1000+(Source!F54)/1000,2)</f>
        <v>0</v>
      </c>
      <c r="I16" s="8">
        <f>E16+F16+G16+H16</f>
        <v>34.54</v>
      </c>
      <c r="J16" s="8">
        <f>ROUND((Source!F49+Source!F48)/1000,2)</f>
        <v>3.49</v>
      </c>
      <c r="T16" s="9">
        <f>ROUND((Source!P51)/1000,2)</f>
        <v>340.11</v>
      </c>
      <c r="U16" s="9">
        <f>ROUND((Source!P52)/1000,2)</f>
        <v>0</v>
      </c>
      <c r="V16" s="9">
        <f>ROUND((Source!P43)/1000,2)</f>
        <v>0</v>
      </c>
      <c r="W16" s="9">
        <f>ROUND((Source!P53)/1000+(Source!P54)/1000,2)</f>
        <v>0</v>
      </c>
      <c r="X16" s="9">
        <f>T16+U16+V16+W16</f>
        <v>340.11</v>
      </c>
      <c r="Y16" s="9">
        <f>ROUND((Source!P49+Source!P48)/1000,2)</f>
        <v>79.349999999999994</v>
      </c>
      <c r="AI16" s="7">
        <v>0</v>
      </c>
      <c r="AJ16" s="7">
        <v>-1</v>
      </c>
      <c r="AK16" s="7" t="s">
        <v>6</v>
      </c>
      <c r="AL16" s="7" t="s">
        <v>6</v>
      </c>
      <c r="AM16" s="7" t="s">
        <v>6</v>
      </c>
      <c r="AN16" s="7">
        <v>0</v>
      </c>
      <c r="AO16" s="7" t="s">
        <v>6</v>
      </c>
      <c r="AP16" s="7" t="s">
        <v>6</v>
      </c>
      <c r="AT16" s="8">
        <v>29890</v>
      </c>
      <c r="AU16" s="8">
        <v>0</v>
      </c>
      <c r="AV16" s="8">
        <v>0</v>
      </c>
      <c r="AW16" s="8">
        <v>0</v>
      </c>
      <c r="AX16" s="8">
        <v>0</v>
      </c>
      <c r="AY16" s="8">
        <v>27701</v>
      </c>
      <c r="AZ16" s="8">
        <v>1304</v>
      </c>
      <c r="BA16" s="8">
        <v>2189</v>
      </c>
      <c r="BB16" s="8">
        <v>34537</v>
      </c>
      <c r="BC16" s="8">
        <v>0</v>
      </c>
      <c r="BD16" s="8">
        <v>0</v>
      </c>
      <c r="BE16" s="8">
        <v>0</v>
      </c>
      <c r="BF16" s="8">
        <v>278.182635</v>
      </c>
      <c r="BG16" s="8">
        <v>95.796950999999993</v>
      </c>
      <c r="BH16" s="8">
        <v>0</v>
      </c>
      <c r="BI16" s="8">
        <v>3004</v>
      </c>
      <c r="BJ16" s="8">
        <v>1643</v>
      </c>
      <c r="BK16" s="8">
        <v>34537</v>
      </c>
      <c r="BR16" s="9">
        <v>244662</v>
      </c>
      <c r="BS16" s="9">
        <v>0</v>
      </c>
      <c r="BT16" s="9">
        <v>0</v>
      </c>
      <c r="BU16" s="9">
        <v>0</v>
      </c>
      <c r="BV16" s="9">
        <v>0</v>
      </c>
      <c r="BW16" s="9">
        <v>189207</v>
      </c>
      <c r="BX16" s="9">
        <v>23899</v>
      </c>
      <c r="BY16" s="9">
        <v>55455</v>
      </c>
      <c r="BZ16" s="9">
        <v>340109</v>
      </c>
      <c r="CA16" s="9">
        <v>0</v>
      </c>
      <c r="CB16" s="9">
        <v>0</v>
      </c>
      <c r="CC16" s="9">
        <v>0</v>
      </c>
      <c r="CD16" s="9">
        <v>278.182635</v>
      </c>
      <c r="CE16" s="9">
        <v>95.796950999999993</v>
      </c>
      <c r="CF16" s="9">
        <v>0</v>
      </c>
      <c r="CG16" s="9">
        <v>63981</v>
      </c>
      <c r="CH16" s="9">
        <v>31466</v>
      </c>
      <c r="CI16" s="9">
        <v>340109</v>
      </c>
    </row>
    <row r="18" spans="1:40" x14ac:dyDescent="0.2">
      <c r="A18">
        <v>51</v>
      </c>
      <c r="E18" s="10">
        <f>SUMIF(A16:A17,3,E16:E17)</f>
        <v>34.54</v>
      </c>
      <c r="F18" s="10">
        <f>SUMIF(A16:A17,3,F16:F17)</f>
        <v>0</v>
      </c>
      <c r="G18" s="10">
        <f>SUMIF(A16:A17,3,G16:G17)</f>
        <v>0</v>
      </c>
      <c r="H18" s="10">
        <f>SUMIF(A16:A17,3,H16:H17)</f>
        <v>0</v>
      </c>
      <c r="I18" s="10">
        <f>SUMIF(A16:A17,3,I16:I17)</f>
        <v>34.54</v>
      </c>
      <c r="J18" s="10">
        <f>SUMIF(A16:A17,3,J16:J17)</f>
        <v>3.49</v>
      </c>
      <c r="K18" s="10"/>
      <c r="L18" s="10"/>
      <c r="M18" s="10"/>
      <c r="N18" s="10"/>
      <c r="O18" s="10"/>
      <c r="P18" s="10"/>
      <c r="Q18" s="10"/>
      <c r="R18" s="10"/>
      <c r="S18" s="10"/>
      <c r="T18" s="3">
        <f>SUMIF(A16:A17,3,T16:T17)</f>
        <v>340.11</v>
      </c>
      <c r="U18" s="3">
        <f>SUMIF(A16:A17,3,U16:U17)</f>
        <v>0</v>
      </c>
      <c r="V18" s="3">
        <f>SUMIF(A16:A17,3,V16:V17)</f>
        <v>0</v>
      </c>
      <c r="W18" s="3">
        <f>SUMIF(A16:A17,3,W16:W17)</f>
        <v>0</v>
      </c>
      <c r="X18" s="3">
        <f>SUMIF(A16:A17,3,X16:X17)</f>
        <v>340.11</v>
      </c>
      <c r="Y18" s="3">
        <f>SUMIF(A16:A17,3,Y16:Y17)</f>
        <v>79.349999999999994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29890</v>
      </c>
      <c r="G20" s="5" t="s">
        <v>46</v>
      </c>
      <c r="H20" s="5" t="s">
        <v>47</v>
      </c>
      <c r="I20" s="5"/>
      <c r="J20" s="5"/>
      <c r="K20" s="5">
        <v>201</v>
      </c>
      <c r="L20" s="5">
        <v>1</v>
      </c>
      <c r="M20" s="5">
        <v>3</v>
      </c>
      <c r="N20" s="5" t="s">
        <v>6</v>
      </c>
      <c r="O20" s="5">
        <v>0</v>
      </c>
      <c r="P20" s="5">
        <v>244662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0</v>
      </c>
      <c r="G21" s="5" t="s">
        <v>48</v>
      </c>
      <c r="H21" s="5" t="s">
        <v>49</v>
      </c>
      <c r="I21" s="5"/>
      <c r="J21" s="5"/>
      <c r="K21" s="5">
        <v>202</v>
      </c>
      <c r="L21" s="5">
        <v>2</v>
      </c>
      <c r="M21" s="5">
        <v>3</v>
      </c>
      <c r="N21" s="5" t="s">
        <v>6</v>
      </c>
      <c r="O21" s="5">
        <v>0</v>
      </c>
      <c r="P21" s="5">
        <v>0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50</v>
      </c>
      <c r="H22" s="5" t="s">
        <v>51</v>
      </c>
      <c r="I22" s="5"/>
      <c r="J22" s="5"/>
      <c r="K22" s="5">
        <v>222</v>
      </c>
      <c r="L22" s="5">
        <v>3</v>
      </c>
      <c r="M22" s="5">
        <v>3</v>
      </c>
      <c r="N22" s="5" t="s">
        <v>6</v>
      </c>
      <c r="O22" s="5">
        <v>0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0</v>
      </c>
      <c r="G23" s="5" t="s">
        <v>52</v>
      </c>
      <c r="H23" s="5" t="s">
        <v>53</v>
      </c>
      <c r="I23" s="5"/>
      <c r="J23" s="5"/>
      <c r="K23" s="5">
        <v>225</v>
      </c>
      <c r="L23" s="5">
        <v>4</v>
      </c>
      <c r="M23" s="5">
        <v>3</v>
      </c>
      <c r="N23" s="5" t="s">
        <v>6</v>
      </c>
      <c r="O23" s="5">
        <v>0</v>
      </c>
      <c r="P23" s="5">
        <v>0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0</v>
      </c>
      <c r="G24" s="5" t="s">
        <v>54</v>
      </c>
      <c r="H24" s="5" t="s">
        <v>55</v>
      </c>
      <c r="I24" s="5"/>
      <c r="J24" s="5"/>
      <c r="K24" s="5">
        <v>226</v>
      </c>
      <c r="L24" s="5">
        <v>5</v>
      </c>
      <c r="M24" s="5">
        <v>3</v>
      </c>
      <c r="N24" s="5" t="s">
        <v>6</v>
      </c>
      <c r="O24" s="5">
        <v>0</v>
      </c>
      <c r="P24" s="5">
        <v>0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56</v>
      </c>
      <c r="H25" s="5" t="s">
        <v>57</v>
      </c>
      <c r="I25" s="5"/>
      <c r="J25" s="5"/>
      <c r="K25" s="5">
        <v>227</v>
      </c>
      <c r="L25" s="5">
        <v>6</v>
      </c>
      <c r="M25" s="5">
        <v>3</v>
      </c>
      <c r="N25" s="5" t="s">
        <v>6</v>
      </c>
      <c r="O25" s="5">
        <v>0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0</v>
      </c>
      <c r="G26" s="5" t="s">
        <v>58</v>
      </c>
      <c r="H26" s="5" t="s">
        <v>59</v>
      </c>
      <c r="I26" s="5"/>
      <c r="J26" s="5"/>
      <c r="K26" s="5">
        <v>228</v>
      </c>
      <c r="L26" s="5">
        <v>7</v>
      </c>
      <c r="M26" s="5">
        <v>3</v>
      </c>
      <c r="N26" s="5" t="s">
        <v>6</v>
      </c>
      <c r="O26" s="5">
        <v>0</v>
      </c>
      <c r="P26" s="5">
        <v>0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60</v>
      </c>
      <c r="H27" s="5" t="s">
        <v>61</v>
      </c>
      <c r="I27" s="5"/>
      <c r="J27" s="5"/>
      <c r="K27" s="5">
        <v>216</v>
      </c>
      <c r="L27" s="5">
        <v>8</v>
      </c>
      <c r="M27" s="5">
        <v>3</v>
      </c>
      <c r="N27" s="5" t="s">
        <v>6</v>
      </c>
      <c r="O27" s="5">
        <v>0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62</v>
      </c>
      <c r="H28" s="5" t="s">
        <v>63</v>
      </c>
      <c r="I28" s="5"/>
      <c r="J28" s="5"/>
      <c r="K28" s="5">
        <v>223</v>
      </c>
      <c r="L28" s="5">
        <v>9</v>
      </c>
      <c r="M28" s="5">
        <v>3</v>
      </c>
      <c r="N28" s="5" t="s">
        <v>6</v>
      </c>
      <c r="O28" s="5">
        <v>0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64</v>
      </c>
      <c r="H29" s="5" t="s">
        <v>65</v>
      </c>
      <c r="I29" s="5"/>
      <c r="J29" s="5"/>
      <c r="K29" s="5">
        <v>229</v>
      </c>
      <c r="L29" s="5">
        <v>10</v>
      </c>
      <c r="M29" s="5">
        <v>3</v>
      </c>
      <c r="N29" s="5" t="s">
        <v>6</v>
      </c>
      <c r="O29" s="5">
        <v>0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27701</v>
      </c>
      <c r="G30" s="5" t="s">
        <v>66</v>
      </c>
      <c r="H30" s="5" t="s">
        <v>67</v>
      </c>
      <c r="I30" s="5"/>
      <c r="J30" s="5"/>
      <c r="K30" s="5">
        <v>203</v>
      </c>
      <c r="L30" s="5">
        <v>11</v>
      </c>
      <c r="M30" s="5">
        <v>3</v>
      </c>
      <c r="N30" s="5" t="s">
        <v>6</v>
      </c>
      <c r="O30" s="5">
        <v>0</v>
      </c>
      <c r="P30" s="5">
        <v>189207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68</v>
      </c>
      <c r="H31" s="5" t="s">
        <v>69</v>
      </c>
      <c r="I31" s="5"/>
      <c r="J31" s="5"/>
      <c r="K31" s="5">
        <v>231</v>
      </c>
      <c r="L31" s="5">
        <v>12</v>
      </c>
      <c r="M31" s="5">
        <v>3</v>
      </c>
      <c r="N31" s="5" t="s">
        <v>6</v>
      </c>
      <c r="O31" s="5">
        <v>0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1304</v>
      </c>
      <c r="G32" s="5" t="s">
        <v>70</v>
      </c>
      <c r="H32" s="5" t="s">
        <v>71</v>
      </c>
      <c r="I32" s="5"/>
      <c r="J32" s="5"/>
      <c r="K32" s="5">
        <v>204</v>
      </c>
      <c r="L32" s="5">
        <v>13</v>
      </c>
      <c r="M32" s="5">
        <v>3</v>
      </c>
      <c r="N32" s="5" t="s">
        <v>6</v>
      </c>
      <c r="O32" s="5">
        <v>0</v>
      </c>
      <c r="P32" s="5">
        <v>23899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2189</v>
      </c>
      <c r="G33" s="5" t="s">
        <v>72</v>
      </c>
      <c r="H33" s="5" t="s">
        <v>73</v>
      </c>
      <c r="I33" s="5"/>
      <c r="J33" s="5"/>
      <c r="K33" s="5">
        <v>205</v>
      </c>
      <c r="L33" s="5">
        <v>14</v>
      </c>
      <c r="M33" s="5">
        <v>3</v>
      </c>
      <c r="N33" s="5" t="s">
        <v>6</v>
      </c>
      <c r="O33" s="5">
        <v>0</v>
      </c>
      <c r="P33" s="5">
        <v>55455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74</v>
      </c>
      <c r="H34" s="5" t="s">
        <v>75</v>
      </c>
      <c r="I34" s="5"/>
      <c r="J34" s="5"/>
      <c r="K34" s="5">
        <v>232</v>
      </c>
      <c r="L34" s="5">
        <v>15</v>
      </c>
      <c r="M34" s="5">
        <v>3</v>
      </c>
      <c r="N34" s="5" t="s">
        <v>6</v>
      </c>
      <c r="O34" s="5">
        <v>0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34537</v>
      </c>
      <c r="G35" s="5" t="s">
        <v>76</v>
      </c>
      <c r="H35" s="5" t="s">
        <v>77</v>
      </c>
      <c r="I35" s="5"/>
      <c r="J35" s="5"/>
      <c r="K35" s="5">
        <v>214</v>
      </c>
      <c r="L35" s="5">
        <v>16</v>
      </c>
      <c r="M35" s="5">
        <v>3</v>
      </c>
      <c r="N35" s="5" t="s">
        <v>6</v>
      </c>
      <c r="O35" s="5">
        <v>0</v>
      </c>
      <c r="P35" s="5">
        <v>340109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78</v>
      </c>
      <c r="H36" s="5" t="s">
        <v>79</v>
      </c>
      <c r="I36" s="5"/>
      <c r="J36" s="5"/>
      <c r="K36" s="5">
        <v>215</v>
      </c>
      <c r="L36" s="5">
        <v>17</v>
      </c>
      <c r="M36" s="5">
        <v>3</v>
      </c>
      <c r="N36" s="5" t="s">
        <v>6</v>
      </c>
      <c r="O36" s="5">
        <v>0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80</v>
      </c>
      <c r="H37" s="5" t="s">
        <v>81</v>
      </c>
      <c r="I37" s="5"/>
      <c r="J37" s="5"/>
      <c r="K37" s="5">
        <v>217</v>
      </c>
      <c r="L37" s="5">
        <v>18</v>
      </c>
      <c r="M37" s="5">
        <v>3</v>
      </c>
      <c r="N37" s="5" t="s">
        <v>6</v>
      </c>
      <c r="O37" s="5">
        <v>0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82</v>
      </c>
      <c r="H38" s="5" t="s">
        <v>83</v>
      </c>
      <c r="I38" s="5"/>
      <c r="J38" s="5"/>
      <c r="K38" s="5">
        <v>230</v>
      </c>
      <c r="L38" s="5">
        <v>19</v>
      </c>
      <c r="M38" s="5">
        <v>3</v>
      </c>
      <c r="N38" s="5" t="s">
        <v>6</v>
      </c>
      <c r="O38" s="5">
        <v>0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84</v>
      </c>
      <c r="H39" s="5" t="s">
        <v>85</v>
      </c>
      <c r="I39" s="5"/>
      <c r="J39" s="5"/>
      <c r="K39" s="5">
        <v>206</v>
      </c>
      <c r="L39" s="5">
        <v>20</v>
      </c>
      <c r="M39" s="5">
        <v>3</v>
      </c>
      <c r="N39" s="5" t="s">
        <v>6</v>
      </c>
      <c r="O39" s="5">
        <v>0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278.182635</v>
      </c>
      <c r="G40" s="5" t="s">
        <v>86</v>
      </c>
      <c r="H40" s="5" t="s">
        <v>87</v>
      </c>
      <c r="I40" s="5"/>
      <c r="J40" s="5"/>
      <c r="K40" s="5">
        <v>207</v>
      </c>
      <c r="L40" s="5">
        <v>21</v>
      </c>
      <c r="M40" s="5">
        <v>3</v>
      </c>
      <c r="N40" s="5" t="s">
        <v>6</v>
      </c>
      <c r="O40" s="5">
        <v>-1</v>
      </c>
      <c r="P40" s="5">
        <v>278.182635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95.796950999999993</v>
      </c>
      <c r="G41" s="5" t="s">
        <v>88</v>
      </c>
      <c r="H41" s="5" t="s">
        <v>89</v>
      </c>
      <c r="I41" s="5"/>
      <c r="J41" s="5"/>
      <c r="K41" s="5">
        <v>208</v>
      </c>
      <c r="L41" s="5">
        <v>22</v>
      </c>
      <c r="M41" s="5">
        <v>3</v>
      </c>
      <c r="N41" s="5" t="s">
        <v>6</v>
      </c>
      <c r="O41" s="5">
        <v>-1</v>
      </c>
      <c r="P41" s="5">
        <v>95.796950999999993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90</v>
      </c>
      <c r="H42" s="5" t="s">
        <v>91</v>
      </c>
      <c r="I42" s="5"/>
      <c r="J42" s="5"/>
      <c r="K42" s="5">
        <v>209</v>
      </c>
      <c r="L42" s="5">
        <v>23</v>
      </c>
      <c r="M42" s="5">
        <v>3</v>
      </c>
      <c r="N42" s="5" t="s">
        <v>6</v>
      </c>
      <c r="O42" s="5">
        <v>0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16406</v>
      </c>
      <c r="G43" s="5" t="s">
        <v>92</v>
      </c>
      <c r="H43" s="5" t="s">
        <v>93</v>
      </c>
      <c r="I43" s="5"/>
      <c r="J43" s="5"/>
      <c r="K43" s="5">
        <v>233</v>
      </c>
      <c r="L43" s="5">
        <v>24</v>
      </c>
      <c r="M43" s="5">
        <v>3</v>
      </c>
      <c r="N43" s="5" t="s">
        <v>6</v>
      </c>
      <c r="O43" s="5">
        <v>0</v>
      </c>
      <c r="P43" s="5">
        <v>116807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3004</v>
      </c>
      <c r="G44" s="5" t="s">
        <v>94</v>
      </c>
      <c r="H44" s="5" t="s">
        <v>95</v>
      </c>
      <c r="I44" s="5"/>
      <c r="J44" s="5"/>
      <c r="K44" s="5">
        <v>210</v>
      </c>
      <c r="L44" s="5">
        <v>25</v>
      </c>
      <c r="M44" s="5">
        <v>3</v>
      </c>
      <c r="N44" s="5" t="s">
        <v>6</v>
      </c>
      <c r="O44" s="5">
        <v>0</v>
      </c>
      <c r="P44" s="5">
        <v>63981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1643</v>
      </c>
      <c r="G45" s="5" t="s">
        <v>96</v>
      </c>
      <c r="H45" s="5" t="s">
        <v>97</v>
      </c>
      <c r="I45" s="5"/>
      <c r="J45" s="5"/>
      <c r="K45" s="5">
        <v>211</v>
      </c>
      <c r="L45" s="5">
        <v>26</v>
      </c>
      <c r="M45" s="5">
        <v>3</v>
      </c>
      <c r="N45" s="5" t="s">
        <v>6</v>
      </c>
      <c r="O45" s="5">
        <v>0</v>
      </c>
      <c r="P45" s="5">
        <v>31466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34537</v>
      </c>
      <c r="G46" s="5" t="s">
        <v>98</v>
      </c>
      <c r="H46" s="5" t="s">
        <v>99</v>
      </c>
      <c r="I46" s="5"/>
      <c r="J46" s="5"/>
      <c r="K46" s="5">
        <v>224</v>
      </c>
      <c r="L46" s="5">
        <v>27</v>
      </c>
      <c r="M46" s="5">
        <v>3</v>
      </c>
      <c r="N46" s="5" t="s">
        <v>6</v>
      </c>
      <c r="O46" s="5">
        <v>0</v>
      </c>
      <c r="P46" s="5">
        <v>340109</v>
      </c>
    </row>
    <row r="48" spans="1:16" x14ac:dyDescent="0.2">
      <c r="A48">
        <v>-1</v>
      </c>
    </row>
    <row r="51" spans="1:40" x14ac:dyDescent="0.2">
      <c r="A51" s="4">
        <v>75</v>
      </c>
      <c r="B51" s="4" t="s">
        <v>168</v>
      </c>
      <c r="C51" s="4">
        <v>2000</v>
      </c>
      <c r="D51" s="4">
        <v>0</v>
      </c>
      <c r="E51" s="4">
        <v>1</v>
      </c>
      <c r="F51" s="4"/>
      <c r="G51" s="4">
        <v>0</v>
      </c>
      <c r="H51" s="4">
        <v>1</v>
      </c>
      <c r="I51" s="4">
        <v>0</v>
      </c>
      <c r="J51" s="4">
        <v>4</v>
      </c>
      <c r="K51" s="4">
        <v>0</v>
      </c>
      <c r="L51" s="4">
        <v>0</v>
      </c>
      <c r="M51" s="4">
        <v>0</v>
      </c>
      <c r="N51" s="4">
        <v>62803415</v>
      </c>
      <c r="O51" s="4">
        <v>1</v>
      </c>
    </row>
    <row r="52" spans="1:40" x14ac:dyDescent="0.2">
      <c r="A52" s="4">
        <v>75</v>
      </c>
      <c r="B52" s="4" t="s">
        <v>169</v>
      </c>
      <c r="C52" s="4">
        <v>2023</v>
      </c>
      <c r="D52" s="4">
        <v>1</v>
      </c>
      <c r="E52" s="4">
        <v>0</v>
      </c>
      <c r="F52" s="4"/>
      <c r="G52" s="4">
        <v>0</v>
      </c>
      <c r="H52" s="4">
        <v>2</v>
      </c>
      <c r="I52" s="4">
        <v>0</v>
      </c>
      <c r="J52" s="4">
        <v>3</v>
      </c>
      <c r="K52" s="4">
        <v>0</v>
      </c>
      <c r="L52" s="4">
        <v>0</v>
      </c>
      <c r="M52" s="4">
        <v>1</v>
      </c>
      <c r="N52" s="4">
        <v>62803416</v>
      </c>
      <c r="O52" s="4">
        <v>2</v>
      </c>
    </row>
    <row r="53" spans="1:40" x14ac:dyDescent="0.2">
      <c r="A53" s="6">
        <v>1</v>
      </c>
      <c r="B53" s="6" t="s">
        <v>170</v>
      </c>
      <c r="C53" s="6" t="s">
        <v>171</v>
      </c>
      <c r="D53" s="6">
        <v>2023</v>
      </c>
      <c r="E53" s="6">
        <v>3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7.56</v>
      </c>
      <c r="L53" s="6">
        <v>4.83</v>
      </c>
      <c r="M53" s="6">
        <v>1</v>
      </c>
      <c r="N53" s="6">
        <v>1</v>
      </c>
      <c r="O53" s="6">
        <v>7.56</v>
      </c>
      <c r="P53" s="6">
        <v>4.83</v>
      </c>
      <c r="Q53" s="6">
        <v>1</v>
      </c>
      <c r="R53" s="6" t="s">
        <v>6</v>
      </c>
      <c r="S53" s="6" t="s">
        <v>6</v>
      </c>
      <c r="T53" s="6" t="s">
        <v>6</v>
      </c>
      <c r="U53" s="6" t="s">
        <v>6</v>
      </c>
      <c r="V53" s="6" t="s">
        <v>6</v>
      </c>
      <c r="W53" s="6" t="s">
        <v>6</v>
      </c>
      <c r="X53" s="6" t="s">
        <v>6</v>
      </c>
      <c r="Y53" s="6" t="s">
        <v>6</v>
      </c>
      <c r="Z53" s="6" t="s">
        <v>6</v>
      </c>
      <c r="AA53" s="6" t="s">
        <v>6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62803417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1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ROW(Source!A25)</f>
        <v>25</v>
      </c>
      <c r="B1">
        <v>62803415</v>
      </c>
      <c r="C1">
        <v>62803480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25</v>
      </c>
      <c r="J1" t="s">
        <v>6</v>
      </c>
      <c r="K1" t="s">
        <v>173</v>
      </c>
      <c r="L1">
        <v>608254</v>
      </c>
      <c r="N1">
        <v>1013</v>
      </c>
      <c r="O1" t="s">
        <v>174</v>
      </c>
      <c r="P1" t="s">
        <v>174</v>
      </c>
      <c r="Q1">
        <v>1</v>
      </c>
      <c r="W1">
        <v>0</v>
      </c>
      <c r="X1">
        <v>-185737400</v>
      </c>
      <c r="Y1">
        <v>25.96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6</v>
      </c>
      <c r="AT1">
        <v>25.96</v>
      </c>
      <c r="AU1" t="s">
        <v>6</v>
      </c>
      <c r="AV1">
        <v>2</v>
      </c>
      <c r="AW1">
        <v>2</v>
      </c>
      <c r="AX1">
        <v>62803663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Y1*Source!I25</f>
        <v>83.090171999999995</v>
      </c>
      <c r="CY1">
        <f>AD1</f>
        <v>0</v>
      </c>
      <c r="CZ1">
        <f>AH1</f>
        <v>0</v>
      </c>
      <c r="DA1">
        <f>AL1</f>
        <v>1</v>
      </c>
      <c r="DB1">
        <f t="shared" ref="DB1:DB14" si="0">ROUND(ROUND(AT1*CZ1,2),2)</f>
        <v>0</v>
      </c>
      <c r="DC1">
        <f t="shared" ref="DC1:DC14" si="1">ROUND(ROUND(AT1*AG1,2),2)</f>
        <v>0</v>
      </c>
      <c r="DH1">
        <f>Source!I25*SmtRes!Y1</f>
        <v>83.090171999999995</v>
      </c>
      <c r="DI1">
        <f>AD1</f>
        <v>0</v>
      </c>
      <c r="DJ1">
        <f>EtalonRes!AB1</f>
        <v>0</v>
      </c>
      <c r="DK1">
        <f>Source!BA25</f>
        <v>1</v>
      </c>
      <c r="GQ1">
        <v>-1</v>
      </c>
      <c r="GR1">
        <v>-1</v>
      </c>
    </row>
    <row r="2" spans="1:200" x14ac:dyDescent="0.2">
      <c r="A2">
        <f>ROW(Source!A25)</f>
        <v>25</v>
      </c>
      <c r="B2">
        <v>62803415</v>
      </c>
      <c r="C2">
        <v>62803480</v>
      </c>
      <c r="D2">
        <v>27439781</v>
      </c>
      <c r="E2">
        <v>1</v>
      </c>
      <c r="F2">
        <v>1</v>
      </c>
      <c r="G2">
        <v>1</v>
      </c>
      <c r="H2">
        <v>2</v>
      </c>
      <c r="I2" t="s">
        <v>175</v>
      </c>
      <c r="J2" t="s">
        <v>176</v>
      </c>
      <c r="K2" t="s">
        <v>177</v>
      </c>
      <c r="L2">
        <v>1368</v>
      </c>
      <c r="N2">
        <v>1011</v>
      </c>
      <c r="O2" t="s">
        <v>178</v>
      </c>
      <c r="P2" t="s">
        <v>178</v>
      </c>
      <c r="Q2">
        <v>1</v>
      </c>
      <c r="W2">
        <v>0</v>
      </c>
      <c r="X2">
        <v>-938440382</v>
      </c>
      <c r="Y2">
        <v>25.96</v>
      </c>
      <c r="AA2">
        <v>0</v>
      </c>
      <c r="AB2">
        <v>122</v>
      </c>
      <c r="AC2">
        <v>13.61</v>
      </c>
      <c r="AD2">
        <v>0</v>
      </c>
      <c r="AE2">
        <v>0</v>
      </c>
      <c r="AF2">
        <v>122</v>
      </c>
      <c r="AG2">
        <v>13.61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6</v>
      </c>
      <c r="AT2">
        <v>25.96</v>
      </c>
      <c r="AU2" t="s">
        <v>6</v>
      </c>
      <c r="AV2">
        <v>0</v>
      </c>
      <c r="AW2">
        <v>2</v>
      </c>
      <c r="AX2">
        <v>62803664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Y2*Source!I25</f>
        <v>83.090171999999995</v>
      </c>
      <c r="CY2">
        <f>AB2</f>
        <v>122</v>
      </c>
      <c r="CZ2">
        <f>AF2</f>
        <v>122</v>
      </c>
      <c r="DA2">
        <f>AJ2</f>
        <v>1</v>
      </c>
      <c r="DB2">
        <f t="shared" si="0"/>
        <v>3167.12</v>
      </c>
      <c r="DC2">
        <f t="shared" si="1"/>
        <v>353.32</v>
      </c>
      <c r="DH2">
        <f>Source!I25*SmtRes!Y2</f>
        <v>83.090171999999995</v>
      </c>
      <c r="DI2">
        <f>AB2</f>
        <v>122</v>
      </c>
      <c r="DJ2">
        <f>EtalonRes!Z2</f>
        <v>122</v>
      </c>
      <c r="DK2">
        <f>Source!BB25</f>
        <v>1</v>
      </c>
      <c r="GQ2">
        <v>-1</v>
      </c>
      <c r="GR2">
        <v>-1</v>
      </c>
    </row>
    <row r="3" spans="1:200" x14ac:dyDescent="0.2">
      <c r="A3">
        <f>ROW(Source!A26)</f>
        <v>26</v>
      </c>
      <c r="B3">
        <v>62803416</v>
      </c>
      <c r="C3">
        <v>62803480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25</v>
      </c>
      <c r="J3" t="s">
        <v>6</v>
      </c>
      <c r="K3" t="s">
        <v>173</v>
      </c>
      <c r="L3">
        <v>608254</v>
      </c>
      <c r="N3">
        <v>1013</v>
      </c>
      <c r="O3" t="s">
        <v>174</v>
      </c>
      <c r="P3" t="s">
        <v>174</v>
      </c>
      <c r="Q3">
        <v>1</v>
      </c>
      <c r="W3">
        <v>0</v>
      </c>
      <c r="X3">
        <v>-185737400</v>
      </c>
      <c r="Y3">
        <v>25.96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18.329999999999998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6</v>
      </c>
      <c r="AT3">
        <v>25.96</v>
      </c>
      <c r="AU3" t="s">
        <v>6</v>
      </c>
      <c r="AV3">
        <v>2</v>
      </c>
      <c r="AW3">
        <v>2</v>
      </c>
      <c r="AX3">
        <v>62803663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Y3*Source!I26</f>
        <v>83.090171999999995</v>
      </c>
      <c r="CY3">
        <f>AD3</f>
        <v>0</v>
      </c>
      <c r="CZ3">
        <f>AH3</f>
        <v>0</v>
      </c>
      <c r="DA3">
        <f>AL3</f>
        <v>1</v>
      </c>
      <c r="DB3">
        <f t="shared" si="0"/>
        <v>0</v>
      </c>
      <c r="DC3">
        <f t="shared" si="1"/>
        <v>0</v>
      </c>
      <c r="DH3">
        <f>Source!I26*SmtRes!Y3</f>
        <v>83.090171999999995</v>
      </c>
      <c r="DI3">
        <f>AD3</f>
        <v>0</v>
      </c>
      <c r="DJ3">
        <f>EtalonRes!AB3</f>
        <v>0</v>
      </c>
      <c r="DK3">
        <f>Source!BA26</f>
        <v>25.33</v>
      </c>
      <c r="GQ3">
        <v>-1</v>
      </c>
      <c r="GR3">
        <v>-1</v>
      </c>
    </row>
    <row r="4" spans="1:200" x14ac:dyDescent="0.2">
      <c r="A4">
        <f>ROW(Source!A26)</f>
        <v>26</v>
      </c>
      <c r="B4">
        <v>62803416</v>
      </c>
      <c r="C4">
        <v>62803480</v>
      </c>
      <c r="D4">
        <v>27439781</v>
      </c>
      <c r="E4">
        <v>1</v>
      </c>
      <c r="F4">
        <v>1</v>
      </c>
      <c r="G4">
        <v>1</v>
      </c>
      <c r="H4">
        <v>2</v>
      </c>
      <c r="I4" t="s">
        <v>175</v>
      </c>
      <c r="J4" t="s">
        <v>176</v>
      </c>
      <c r="K4" t="s">
        <v>177</v>
      </c>
      <c r="L4">
        <v>1368</v>
      </c>
      <c r="N4">
        <v>1011</v>
      </c>
      <c r="O4" t="s">
        <v>178</v>
      </c>
      <c r="P4" t="s">
        <v>178</v>
      </c>
      <c r="Q4">
        <v>1</v>
      </c>
      <c r="W4">
        <v>0</v>
      </c>
      <c r="X4">
        <v>-938440382</v>
      </c>
      <c r="Y4">
        <v>25.96</v>
      </c>
      <c r="AA4">
        <v>0</v>
      </c>
      <c r="AB4">
        <v>782.02</v>
      </c>
      <c r="AC4">
        <v>249.47</v>
      </c>
      <c r="AD4">
        <v>0</v>
      </c>
      <c r="AE4">
        <v>0</v>
      </c>
      <c r="AF4">
        <v>122</v>
      </c>
      <c r="AG4">
        <v>13.61</v>
      </c>
      <c r="AH4">
        <v>0</v>
      </c>
      <c r="AI4">
        <v>1</v>
      </c>
      <c r="AJ4">
        <v>6.41</v>
      </c>
      <c r="AK4">
        <v>18.329999999999998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6</v>
      </c>
      <c r="AT4">
        <v>25.96</v>
      </c>
      <c r="AU4" t="s">
        <v>6</v>
      </c>
      <c r="AV4">
        <v>0</v>
      </c>
      <c r="AW4">
        <v>2</v>
      </c>
      <c r="AX4">
        <v>62803664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Y4*Source!I26</f>
        <v>83.090171999999995</v>
      </c>
      <c r="CY4">
        <f>AB4</f>
        <v>782.02</v>
      </c>
      <c r="CZ4">
        <f>AF4</f>
        <v>122</v>
      </c>
      <c r="DA4">
        <f>AJ4</f>
        <v>6.41</v>
      </c>
      <c r="DB4">
        <f t="shared" si="0"/>
        <v>3167.12</v>
      </c>
      <c r="DC4">
        <f t="shared" si="1"/>
        <v>353.32</v>
      </c>
      <c r="DH4">
        <f>Source!I26*SmtRes!Y4</f>
        <v>83.090171999999995</v>
      </c>
      <c r="DI4">
        <f>AB4</f>
        <v>782.02</v>
      </c>
      <c r="DJ4">
        <f>EtalonRes!Z4</f>
        <v>122</v>
      </c>
      <c r="DK4">
        <f>Source!BB26</f>
        <v>6.41</v>
      </c>
      <c r="GQ4">
        <v>-1</v>
      </c>
      <c r="GR4">
        <v>-1</v>
      </c>
    </row>
    <row r="5" spans="1:200" x14ac:dyDescent="0.2">
      <c r="A5">
        <f>ROW(Source!A27)</f>
        <v>27</v>
      </c>
      <c r="B5">
        <v>62803415</v>
      </c>
      <c r="C5">
        <v>62803490</v>
      </c>
      <c r="D5">
        <v>27441335</v>
      </c>
      <c r="E5">
        <v>1</v>
      </c>
      <c r="F5">
        <v>1</v>
      </c>
      <c r="G5">
        <v>1</v>
      </c>
      <c r="H5">
        <v>2</v>
      </c>
      <c r="I5" t="s">
        <v>179</v>
      </c>
      <c r="J5" t="s">
        <v>180</v>
      </c>
      <c r="K5" t="s">
        <v>181</v>
      </c>
      <c r="L5">
        <v>1368</v>
      </c>
      <c r="N5">
        <v>1011</v>
      </c>
      <c r="O5" t="s">
        <v>178</v>
      </c>
      <c r="P5" t="s">
        <v>178</v>
      </c>
      <c r="Q5">
        <v>1</v>
      </c>
      <c r="W5">
        <v>0</v>
      </c>
      <c r="X5">
        <v>-1952721807</v>
      </c>
      <c r="Y5">
        <v>2.5899999999999999E-2</v>
      </c>
      <c r="AA5">
        <v>0</v>
      </c>
      <c r="AB5">
        <v>114.93</v>
      </c>
      <c r="AC5">
        <v>13.61</v>
      </c>
      <c r="AD5">
        <v>0</v>
      </c>
      <c r="AE5">
        <v>0</v>
      </c>
      <c r="AF5">
        <v>114.93</v>
      </c>
      <c r="AG5">
        <v>13.61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6</v>
      </c>
      <c r="AT5">
        <v>2.5899999999999999E-2</v>
      </c>
      <c r="AU5" t="s">
        <v>6</v>
      </c>
      <c r="AV5">
        <v>0</v>
      </c>
      <c r="AW5">
        <v>2</v>
      </c>
      <c r="AX5">
        <v>62803492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Y5*Source!I27</f>
        <v>142.58478359999998</v>
      </c>
      <c r="CY5">
        <f>AB5</f>
        <v>114.93</v>
      </c>
      <c r="CZ5">
        <f>AF5</f>
        <v>114.93</v>
      </c>
      <c r="DA5">
        <f>AJ5</f>
        <v>1</v>
      </c>
      <c r="DB5">
        <f t="shared" si="0"/>
        <v>2.98</v>
      </c>
      <c r="DC5">
        <f t="shared" si="1"/>
        <v>0.35</v>
      </c>
      <c r="DH5">
        <f>Source!I27*SmtRes!Y5</f>
        <v>142.58478359999998</v>
      </c>
      <c r="DI5">
        <f>AB5</f>
        <v>114.93</v>
      </c>
      <c r="DJ5">
        <f>EtalonRes!Z5</f>
        <v>114.93</v>
      </c>
      <c r="DK5">
        <f>Source!BB27</f>
        <v>1</v>
      </c>
      <c r="GQ5">
        <v>-1</v>
      </c>
      <c r="GR5">
        <v>-1</v>
      </c>
    </row>
    <row r="6" spans="1:200" x14ac:dyDescent="0.2">
      <c r="A6">
        <f>ROW(Source!A28)</f>
        <v>28</v>
      </c>
      <c r="B6">
        <v>62803416</v>
      </c>
      <c r="C6">
        <v>62803490</v>
      </c>
      <c r="D6">
        <v>27441335</v>
      </c>
      <c r="E6">
        <v>1</v>
      </c>
      <c r="F6">
        <v>1</v>
      </c>
      <c r="G6">
        <v>1</v>
      </c>
      <c r="H6">
        <v>2</v>
      </c>
      <c r="I6" t="s">
        <v>179</v>
      </c>
      <c r="J6" t="s">
        <v>180</v>
      </c>
      <c r="K6" t="s">
        <v>181</v>
      </c>
      <c r="L6">
        <v>1368</v>
      </c>
      <c r="N6">
        <v>1011</v>
      </c>
      <c r="O6" t="s">
        <v>178</v>
      </c>
      <c r="P6" t="s">
        <v>178</v>
      </c>
      <c r="Q6">
        <v>1</v>
      </c>
      <c r="W6">
        <v>0</v>
      </c>
      <c r="X6">
        <v>-1952721807</v>
      </c>
      <c r="Y6">
        <v>2.5899999999999999E-2</v>
      </c>
      <c r="AA6">
        <v>0</v>
      </c>
      <c r="AB6">
        <v>818.3</v>
      </c>
      <c r="AC6">
        <v>249.47</v>
      </c>
      <c r="AD6">
        <v>0</v>
      </c>
      <c r="AE6">
        <v>0</v>
      </c>
      <c r="AF6">
        <v>114.93</v>
      </c>
      <c r="AG6">
        <v>13.61</v>
      </c>
      <c r="AH6">
        <v>0</v>
      </c>
      <c r="AI6">
        <v>1</v>
      </c>
      <c r="AJ6">
        <v>7.12</v>
      </c>
      <c r="AK6">
        <v>18.329999999999998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6</v>
      </c>
      <c r="AT6">
        <v>2.5899999999999999E-2</v>
      </c>
      <c r="AU6" t="s">
        <v>6</v>
      </c>
      <c r="AV6">
        <v>0</v>
      </c>
      <c r="AW6">
        <v>2</v>
      </c>
      <c r="AX6">
        <v>62803492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142.58478359999998</v>
      </c>
      <c r="CY6">
        <f>AB6</f>
        <v>818.3</v>
      </c>
      <c r="CZ6">
        <f>AF6</f>
        <v>114.93</v>
      </c>
      <c r="DA6">
        <f>AJ6</f>
        <v>7.12</v>
      </c>
      <c r="DB6">
        <f t="shared" si="0"/>
        <v>2.98</v>
      </c>
      <c r="DC6">
        <f t="shared" si="1"/>
        <v>0.35</v>
      </c>
      <c r="DH6">
        <f>Source!I28*SmtRes!Y6</f>
        <v>142.58478359999998</v>
      </c>
      <c r="DI6">
        <f>AB6</f>
        <v>818.3</v>
      </c>
      <c r="DJ6">
        <f>EtalonRes!Z6</f>
        <v>114.93</v>
      </c>
      <c r="DK6">
        <f>Source!BB28</f>
        <v>7.12</v>
      </c>
      <c r="GQ6">
        <v>-1</v>
      </c>
      <c r="GR6">
        <v>-1</v>
      </c>
    </row>
    <row r="7" spans="1:200" x14ac:dyDescent="0.2">
      <c r="A7">
        <f>ROW(Source!A29)</f>
        <v>29</v>
      </c>
      <c r="B7">
        <v>62803415</v>
      </c>
      <c r="C7">
        <v>62803493</v>
      </c>
      <c r="D7">
        <v>27493207</v>
      </c>
      <c r="E7">
        <v>1</v>
      </c>
      <c r="F7">
        <v>1</v>
      </c>
      <c r="G7">
        <v>1</v>
      </c>
      <c r="H7">
        <v>1</v>
      </c>
      <c r="I7" t="s">
        <v>182</v>
      </c>
      <c r="J7" t="s">
        <v>6</v>
      </c>
      <c r="K7" t="s">
        <v>183</v>
      </c>
      <c r="L7">
        <v>1369</v>
      </c>
      <c r="N7">
        <v>1013</v>
      </c>
      <c r="O7" t="s">
        <v>184</v>
      </c>
      <c r="P7" t="s">
        <v>184</v>
      </c>
      <c r="Q7">
        <v>1</v>
      </c>
      <c r="W7">
        <v>0</v>
      </c>
      <c r="X7">
        <v>-1900352537</v>
      </c>
      <c r="Y7">
        <v>3.65</v>
      </c>
      <c r="AA7">
        <v>0</v>
      </c>
      <c r="AB7">
        <v>0</v>
      </c>
      <c r="AC7">
        <v>0</v>
      </c>
      <c r="AD7">
        <v>7.87</v>
      </c>
      <c r="AE7">
        <v>0</v>
      </c>
      <c r="AF7">
        <v>0</v>
      </c>
      <c r="AG7">
        <v>0</v>
      </c>
      <c r="AH7">
        <v>7.87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6</v>
      </c>
      <c r="AT7">
        <v>3.65</v>
      </c>
      <c r="AU7" t="s">
        <v>6</v>
      </c>
      <c r="AV7">
        <v>1</v>
      </c>
      <c r="AW7">
        <v>2</v>
      </c>
      <c r="AX7">
        <v>62807348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Y7*Source!I29</f>
        <v>11.682554999999999</v>
      </c>
      <c r="CY7">
        <f>AD7</f>
        <v>7.87</v>
      </c>
      <c r="CZ7">
        <f>AH7</f>
        <v>7.87</v>
      </c>
      <c r="DA7">
        <f>AL7</f>
        <v>1</v>
      </c>
      <c r="DB7">
        <f t="shared" si="0"/>
        <v>28.73</v>
      </c>
      <c r="DC7">
        <f t="shared" si="1"/>
        <v>0</v>
      </c>
      <c r="DH7">
        <f>Source!I29*SmtRes!Y7</f>
        <v>11.682554999999999</v>
      </c>
      <c r="DI7">
        <f>AD7</f>
        <v>7.87</v>
      </c>
      <c r="DJ7">
        <f>EtalonRes!AB7</f>
        <v>7.87</v>
      </c>
      <c r="DK7">
        <f>Source!BA29</f>
        <v>1</v>
      </c>
      <c r="GQ7">
        <v>-1</v>
      </c>
      <c r="GR7">
        <v>-1</v>
      </c>
    </row>
    <row r="8" spans="1:200" x14ac:dyDescent="0.2">
      <c r="A8">
        <f>ROW(Source!A29)</f>
        <v>29</v>
      </c>
      <c r="B8">
        <v>62803415</v>
      </c>
      <c r="C8">
        <v>62803493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25</v>
      </c>
      <c r="J8" t="s">
        <v>6</v>
      </c>
      <c r="K8" t="s">
        <v>173</v>
      </c>
      <c r="L8">
        <v>608254</v>
      </c>
      <c r="N8">
        <v>1013</v>
      </c>
      <c r="O8" t="s">
        <v>174</v>
      </c>
      <c r="P8" t="s">
        <v>174</v>
      </c>
      <c r="Q8">
        <v>1</v>
      </c>
      <c r="W8">
        <v>0</v>
      </c>
      <c r="X8">
        <v>-185737400</v>
      </c>
      <c r="Y8">
        <v>3.97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6</v>
      </c>
      <c r="AT8">
        <v>3.97</v>
      </c>
      <c r="AU8" t="s">
        <v>6</v>
      </c>
      <c r="AV8">
        <v>2</v>
      </c>
      <c r="AW8">
        <v>2</v>
      </c>
      <c r="AX8">
        <v>62807349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Y8*Source!I29</f>
        <v>12.706779000000001</v>
      </c>
      <c r="CY8">
        <f>AD8</f>
        <v>0</v>
      </c>
      <c r="CZ8">
        <f>AH8</f>
        <v>0</v>
      </c>
      <c r="DA8">
        <f>AL8</f>
        <v>1</v>
      </c>
      <c r="DB8">
        <f t="shared" si="0"/>
        <v>0</v>
      </c>
      <c r="DC8">
        <f t="shared" si="1"/>
        <v>0</v>
      </c>
      <c r="DH8">
        <f>Source!I29*SmtRes!Y8</f>
        <v>12.706779000000001</v>
      </c>
      <c r="DI8">
        <f>AD8</f>
        <v>0</v>
      </c>
      <c r="DJ8">
        <f>EtalonRes!AB8</f>
        <v>0</v>
      </c>
      <c r="DK8">
        <f>Source!BA29</f>
        <v>1</v>
      </c>
      <c r="GQ8">
        <v>-1</v>
      </c>
      <c r="GR8">
        <v>-1</v>
      </c>
    </row>
    <row r="9" spans="1:200" x14ac:dyDescent="0.2">
      <c r="A9">
        <f>ROW(Source!A29)</f>
        <v>29</v>
      </c>
      <c r="B9">
        <v>62803415</v>
      </c>
      <c r="C9">
        <v>62803493</v>
      </c>
      <c r="D9">
        <v>27439851</v>
      </c>
      <c r="E9">
        <v>1</v>
      </c>
      <c r="F9">
        <v>1</v>
      </c>
      <c r="G9">
        <v>1</v>
      </c>
      <c r="H9">
        <v>2</v>
      </c>
      <c r="I9" t="s">
        <v>185</v>
      </c>
      <c r="J9" t="s">
        <v>186</v>
      </c>
      <c r="K9" t="s">
        <v>187</v>
      </c>
      <c r="L9">
        <v>1368</v>
      </c>
      <c r="N9">
        <v>1011</v>
      </c>
      <c r="O9" t="s">
        <v>178</v>
      </c>
      <c r="P9" t="s">
        <v>178</v>
      </c>
      <c r="Q9">
        <v>1</v>
      </c>
      <c r="W9">
        <v>0</v>
      </c>
      <c r="X9">
        <v>82665938</v>
      </c>
      <c r="Y9">
        <v>3.97</v>
      </c>
      <c r="AA9">
        <v>0</v>
      </c>
      <c r="AB9">
        <v>88.79</v>
      </c>
      <c r="AC9">
        <v>13.61</v>
      </c>
      <c r="AD9">
        <v>0</v>
      </c>
      <c r="AE9">
        <v>0</v>
      </c>
      <c r="AF9">
        <v>88.79</v>
      </c>
      <c r="AG9">
        <v>13.61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6</v>
      </c>
      <c r="AT9">
        <v>3.97</v>
      </c>
      <c r="AU9" t="s">
        <v>6</v>
      </c>
      <c r="AV9">
        <v>0</v>
      </c>
      <c r="AW9">
        <v>2</v>
      </c>
      <c r="AX9">
        <v>62807350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Y9*Source!I29</f>
        <v>12.706779000000001</v>
      </c>
      <c r="CY9">
        <f>AB9</f>
        <v>88.79</v>
      </c>
      <c r="CZ9">
        <f>AF9</f>
        <v>88.79</v>
      </c>
      <c r="DA9">
        <f>AJ9</f>
        <v>1</v>
      </c>
      <c r="DB9">
        <f t="shared" si="0"/>
        <v>352.5</v>
      </c>
      <c r="DC9">
        <f t="shared" si="1"/>
        <v>54.03</v>
      </c>
      <c r="DH9">
        <f>Source!I29*SmtRes!Y9</f>
        <v>12.706779000000001</v>
      </c>
      <c r="DI9">
        <f>AB9</f>
        <v>88.79</v>
      </c>
      <c r="DJ9">
        <f>EtalonRes!Z9</f>
        <v>88.79</v>
      </c>
      <c r="DK9">
        <f>Source!BB29</f>
        <v>1</v>
      </c>
      <c r="GQ9">
        <v>-1</v>
      </c>
      <c r="GR9">
        <v>-1</v>
      </c>
    </row>
    <row r="10" spans="1:200" x14ac:dyDescent="0.2">
      <c r="A10">
        <f>ROW(Source!A29)</f>
        <v>29</v>
      </c>
      <c r="B10">
        <v>62803415</v>
      </c>
      <c r="C10">
        <v>62803493</v>
      </c>
      <c r="D10">
        <v>27441334</v>
      </c>
      <c r="E10">
        <v>1</v>
      </c>
      <c r="F10">
        <v>1</v>
      </c>
      <c r="G10">
        <v>1</v>
      </c>
      <c r="H10">
        <v>2</v>
      </c>
      <c r="I10" t="s">
        <v>188</v>
      </c>
      <c r="J10" t="s">
        <v>189</v>
      </c>
      <c r="K10" t="s">
        <v>190</v>
      </c>
      <c r="L10">
        <v>1368</v>
      </c>
      <c r="N10">
        <v>1011</v>
      </c>
      <c r="O10" t="s">
        <v>178</v>
      </c>
      <c r="P10" t="s">
        <v>178</v>
      </c>
      <c r="Q10">
        <v>1</v>
      </c>
      <c r="W10">
        <v>0</v>
      </c>
      <c r="X10">
        <v>-1565846336</v>
      </c>
      <c r="Y10">
        <v>0.08</v>
      </c>
      <c r="AA10">
        <v>0</v>
      </c>
      <c r="AB10">
        <v>115.67</v>
      </c>
      <c r="AC10">
        <v>11.69</v>
      </c>
      <c r="AD10">
        <v>0</v>
      </c>
      <c r="AE10">
        <v>0</v>
      </c>
      <c r="AF10">
        <v>115.67</v>
      </c>
      <c r="AG10">
        <v>11.69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6</v>
      </c>
      <c r="AT10">
        <v>0.08</v>
      </c>
      <c r="AU10" t="s">
        <v>6</v>
      </c>
      <c r="AV10">
        <v>0</v>
      </c>
      <c r="AW10">
        <v>2</v>
      </c>
      <c r="AX10">
        <v>62807351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Y10*Source!I29</f>
        <v>0.25605600000000001</v>
      </c>
      <c r="CY10">
        <f>AB10</f>
        <v>115.67</v>
      </c>
      <c r="CZ10">
        <f>AF10</f>
        <v>115.67</v>
      </c>
      <c r="DA10">
        <f>AJ10</f>
        <v>1</v>
      </c>
      <c r="DB10">
        <f t="shared" si="0"/>
        <v>9.25</v>
      </c>
      <c r="DC10">
        <f t="shared" si="1"/>
        <v>0.94</v>
      </c>
      <c r="DH10">
        <f>Source!I29*SmtRes!Y10</f>
        <v>0.25605600000000001</v>
      </c>
      <c r="DI10">
        <f>AB10</f>
        <v>115.67</v>
      </c>
      <c r="DJ10">
        <f>EtalonRes!Z10</f>
        <v>115.67</v>
      </c>
      <c r="DK10">
        <f>Source!BB29</f>
        <v>1</v>
      </c>
      <c r="GQ10">
        <v>-1</v>
      </c>
      <c r="GR10">
        <v>-1</v>
      </c>
    </row>
    <row r="11" spans="1:200" x14ac:dyDescent="0.2">
      <c r="A11">
        <f>ROW(Source!A30)</f>
        <v>30</v>
      </c>
      <c r="B11">
        <v>62803416</v>
      </c>
      <c r="C11">
        <v>62803493</v>
      </c>
      <c r="D11">
        <v>27493207</v>
      </c>
      <c r="E11">
        <v>1</v>
      </c>
      <c r="F11">
        <v>1</v>
      </c>
      <c r="G11">
        <v>1</v>
      </c>
      <c r="H11">
        <v>1</v>
      </c>
      <c r="I11" t="s">
        <v>182</v>
      </c>
      <c r="J11" t="s">
        <v>6</v>
      </c>
      <c r="K11" t="s">
        <v>183</v>
      </c>
      <c r="L11">
        <v>1369</v>
      </c>
      <c r="N11">
        <v>1013</v>
      </c>
      <c r="O11" t="s">
        <v>184</v>
      </c>
      <c r="P11" t="s">
        <v>184</v>
      </c>
      <c r="Q11">
        <v>1</v>
      </c>
      <c r="W11">
        <v>0</v>
      </c>
      <c r="X11">
        <v>-1900352537</v>
      </c>
      <c r="Y11">
        <v>3.65</v>
      </c>
      <c r="AA11">
        <v>0</v>
      </c>
      <c r="AB11">
        <v>0</v>
      </c>
      <c r="AC11">
        <v>0</v>
      </c>
      <c r="AD11">
        <v>199.35</v>
      </c>
      <c r="AE11">
        <v>0</v>
      </c>
      <c r="AF11">
        <v>0</v>
      </c>
      <c r="AG11">
        <v>0</v>
      </c>
      <c r="AH11">
        <v>7.87</v>
      </c>
      <c r="AI11">
        <v>1</v>
      </c>
      <c r="AJ11">
        <v>1</v>
      </c>
      <c r="AK11">
        <v>1</v>
      </c>
      <c r="AL11">
        <v>25.33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6</v>
      </c>
      <c r="AT11">
        <v>3.65</v>
      </c>
      <c r="AU11" t="s">
        <v>6</v>
      </c>
      <c r="AV11">
        <v>1</v>
      </c>
      <c r="AW11">
        <v>2</v>
      </c>
      <c r="AX11">
        <v>62807348</v>
      </c>
      <c r="AY11">
        <v>1</v>
      </c>
      <c r="AZ11">
        <v>0</v>
      </c>
      <c r="BA11">
        <v>12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Y11*Source!I30</f>
        <v>11.682554999999999</v>
      </c>
      <c r="CY11">
        <f>AD11</f>
        <v>199.35</v>
      </c>
      <c r="CZ11">
        <f>AH11</f>
        <v>7.87</v>
      </c>
      <c r="DA11">
        <f>AL11</f>
        <v>25.33</v>
      </c>
      <c r="DB11">
        <f t="shared" si="0"/>
        <v>28.73</v>
      </c>
      <c r="DC11">
        <f t="shared" si="1"/>
        <v>0</v>
      </c>
      <c r="DH11">
        <f>Source!I30*SmtRes!Y11</f>
        <v>11.682554999999999</v>
      </c>
      <c r="DI11">
        <f>AD11</f>
        <v>199.35</v>
      </c>
      <c r="DJ11">
        <f>EtalonRes!AB12</f>
        <v>7.87</v>
      </c>
      <c r="DK11">
        <f>Source!BA30</f>
        <v>25.33</v>
      </c>
      <c r="GQ11">
        <v>-1</v>
      </c>
      <c r="GR11">
        <v>-1</v>
      </c>
    </row>
    <row r="12" spans="1:200" x14ac:dyDescent="0.2">
      <c r="A12">
        <f>ROW(Source!A30)</f>
        <v>30</v>
      </c>
      <c r="B12">
        <v>62803416</v>
      </c>
      <c r="C12">
        <v>62803493</v>
      </c>
      <c r="D12">
        <v>121548</v>
      </c>
      <c r="E12">
        <v>1</v>
      </c>
      <c r="F12">
        <v>1</v>
      </c>
      <c r="G12">
        <v>1</v>
      </c>
      <c r="H12">
        <v>1</v>
      </c>
      <c r="I12" t="s">
        <v>25</v>
      </c>
      <c r="J12" t="s">
        <v>6</v>
      </c>
      <c r="K12" t="s">
        <v>173</v>
      </c>
      <c r="L12">
        <v>608254</v>
      </c>
      <c r="N12">
        <v>1013</v>
      </c>
      <c r="O12" t="s">
        <v>174</v>
      </c>
      <c r="P12" t="s">
        <v>174</v>
      </c>
      <c r="Q12">
        <v>1</v>
      </c>
      <c r="W12">
        <v>0</v>
      </c>
      <c r="X12">
        <v>-185737400</v>
      </c>
      <c r="Y12">
        <v>3.97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18.329999999999998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6</v>
      </c>
      <c r="AT12">
        <v>3.97</v>
      </c>
      <c r="AU12" t="s">
        <v>6</v>
      </c>
      <c r="AV12">
        <v>2</v>
      </c>
      <c r="AW12">
        <v>2</v>
      </c>
      <c r="AX12">
        <v>62807349</v>
      </c>
      <c r="AY12">
        <v>1</v>
      </c>
      <c r="AZ12">
        <v>0</v>
      </c>
      <c r="BA12">
        <v>13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Y12*Source!I30</f>
        <v>12.706779000000001</v>
      </c>
      <c r="CY12">
        <f>AD12</f>
        <v>0</v>
      </c>
      <c r="CZ12">
        <f>AH12</f>
        <v>0</v>
      </c>
      <c r="DA12">
        <f>AL12</f>
        <v>1</v>
      </c>
      <c r="DB12">
        <f t="shared" si="0"/>
        <v>0</v>
      </c>
      <c r="DC12">
        <f t="shared" si="1"/>
        <v>0</v>
      </c>
      <c r="DH12">
        <f>Source!I30*SmtRes!Y12</f>
        <v>12.706779000000001</v>
      </c>
      <c r="DI12">
        <f>AD12</f>
        <v>0</v>
      </c>
      <c r="DJ12">
        <f>EtalonRes!AB13</f>
        <v>0</v>
      </c>
      <c r="DK12">
        <f>Source!BA30</f>
        <v>25.33</v>
      </c>
      <c r="GQ12">
        <v>-1</v>
      </c>
      <c r="GR12">
        <v>-1</v>
      </c>
    </row>
    <row r="13" spans="1:200" x14ac:dyDescent="0.2">
      <c r="A13">
        <f>ROW(Source!A30)</f>
        <v>30</v>
      </c>
      <c r="B13">
        <v>62803416</v>
      </c>
      <c r="C13">
        <v>62803493</v>
      </c>
      <c r="D13">
        <v>27439851</v>
      </c>
      <c r="E13">
        <v>1</v>
      </c>
      <c r="F13">
        <v>1</v>
      </c>
      <c r="G13">
        <v>1</v>
      </c>
      <c r="H13">
        <v>2</v>
      </c>
      <c r="I13" t="s">
        <v>185</v>
      </c>
      <c r="J13" t="s">
        <v>186</v>
      </c>
      <c r="K13" t="s">
        <v>187</v>
      </c>
      <c r="L13">
        <v>1368</v>
      </c>
      <c r="N13">
        <v>1011</v>
      </c>
      <c r="O13" t="s">
        <v>178</v>
      </c>
      <c r="P13" t="s">
        <v>178</v>
      </c>
      <c r="Q13">
        <v>1</v>
      </c>
      <c r="W13">
        <v>0</v>
      </c>
      <c r="X13">
        <v>82665938</v>
      </c>
      <c r="Y13">
        <v>3.97</v>
      </c>
      <c r="AA13">
        <v>0</v>
      </c>
      <c r="AB13">
        <v>569.14</v>
      </c>
      <c r="AC13">
        <v>249.47</v>
      </c>
      <c r="AD13">
        <v>0</v>
      </c>
      <c r="AE13">
        <v>0</v>
      </c>
      <c r="AF13">
        <v>88.79</v>
      </c>
      <c r="AG13">
        <v>13.61</v>
      </c>
      <c r="AH13">
        <v>0</v>
      </c>
      <c r="AI13">
        <v>1</v>
      </c>
      <c r="AJ13">
        <v>6.41</v>
      </c>
      <c r="AK13">
        <v>18.329999999999998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6</v>
      </c>
      <c r="AT13">
        <v>3.97</v>
      </c>
      <c r="AU13" t="s">
        <v>6</v>
      </c>
      <c r="AV13">
        <v>0</v>
      </c>
      <c r="AW13">
        <v>2</v>
      </c>
      <c r="AX13">
        <v>62807350</v>
      </c>
      <c r="AY13">
        <v>1</v>
      </c>
      <c r="AZ13">
        <v>0</v>
      </c>
      <c r="BA13">
        <v>14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Y13*Source!I30</f>
        <v>12.706779000000001</v>
      </c>
      <c r="CY13">
        <f>AB13</f>
        <v>569.14</v>
      </c>
      <c r="CZ13">
        <f>AF13</f>
        <v>88.79</v>
      </c>
      <c r="DA13">
        <f>AJ13</f>
        <v>6.41</v>
      </c>
      <c r="DB13">
        <f t="shared" si="0"/>
        <v>352.5</v>
      </c>
      <c r="DC13">
        <f t="shared" si="1"/>
        <v>54.03</v>
      </c>
      <c r="DH13">
        <f>Source!I30*SmtRes!Y13</f>
        <v>12.706779000000001</v>
      </c>
      <c r="DI13">
        <f>AB13</f>
        <v>569.14</v>
      </c>
      <c r="DJ13">
        <f>EtalonRes!Z14</f>
        <v>88.79</v>
      </c>
      <c r="DK13">
        <f>Source!BB30</f>
        <v>6.41</v>
      </c>
      <c r="GQ13">
        <v>-1</v>
      </c>
      <c r="GR13">
        <v>-1</v>
      </c>
    </row>
    <row r="14" spans="1:200" x14ac:dyDescent="0.2">
      <c r="A14">
        <f>ROW(Source!A30)</f>
        <v>30</v>
      </c>
      <c r="B14">
        <v>62803416</v>
      </c>
      <c r="C14">
        <v>62803493</v>
      </c>
      <c r="D14">
        <v>27441334</v>
      </c>
      <c r="E14">
        <v>1</v>
      </c>
      <c r="F14">
        <v>1</v>
      </c>
      <c r="G14">
        <v>1</v>
      </c>
      <c r="H14">
        <v>2</v>
      </c>
      <c r="I14" t="s">
        <v>188</v>
      </c>
      <c r="J14" t="s">
        <v>189</v>
      </c>
      <c r="K14" t="s">
        <v>190</v>
      </c>
      <c r="L14">
        <v>1368</v>
      </c>
      <c r="N14">
        <v>1011</v>
      </c>
      <c r="O14" t="s">
        <v>178</v>
      </c>
      <c r="P14" t="s">
        <v>178</v>
      </c>
      <c r="Q14">
        <v>1</v>
      </c>
      <c r="W14">
        <v>0</v>
      </c>
      <c r="X14">
        <v>-1565846336</v>
      </c>
      <c r="Y14">
        <v>0.08</v>
      </c>
      <c r="AA14">
        <v>0</v>
      </c>
      <c r="AB14">
        <v>741.44</v>
      </c>
      <c r="AC14">
        <v>214.28</v>
      </c>
      <c r="AD14">
        <v>0</v>
      </c>
      <c r="AE14">
        <v>0</v>
      </c>
      <c r="AF14">
        <v>115.67</v>
      </c>
      <c r="AG14">
        <v>11.69</v>
      </c>
      <c r="AH14">
        <v>0</v>
      </c>
      <c r="AI14">
        <v>1</v>
      </c>
      <c r="AJ14">
        <v>6.41</v>
      </c>
      <c r="AK14">
        <v>18.329999999999998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6</v>
      </c>
      <c r="AT14">
        <v>0.08</v>
      </c>
      <c r="AU14" t="s">
        <v>6</v>
      </c>
      <c r="AV14">
        <v>0</v>
      </c>
      <c r="AW14">
        <v>2</v>
      </c>
      <c r="AX14">
        <v>62807351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Y14*Source!I30</f>
        <v>0.25605600000000001</v>
      </c>
      <c r="CY14">
        <f>AB14</f>
        <v>741.44</v>
      </c>
      <c r="CZ14">
        <f>AF14</f>
        <v>115.67</v>
      </c>
      <c r="DA14">
        <f>AJ14</f>
        <v>6.41</v>
      </c>
      <c r="DB14">
        <f t="shared" si="0"/>
        <v>9.25</v>
      </c>
      <c r="DC14">
        <f t="shared" si="1"/>
        <v>0.94</v>
      </c>
      <c r="DH14">
        <f>Source!I30*SmtRes!Y14</f>
        <v>0.25605600000000001</v>
      </c>
      <c r="DI14">
        <f>AB14</f>
        <v>741.44</v>
      </c>
      <c r="DJ14">
        <f>EtalonRes!Z15</f>
        <v>115.67</v>
      </c>
      <c r="DK14">
        <f>Source!BB30</f>
        <v>6.41</v>
      </c>
      <c r="GQ14">
        <v>-1</v>
      </c>
      <c r="GR14">
        <v>-1</v>
      </c>
    </row>
    <row r="15" spans="1:200" x14ac:dyDescent="0.2">
      <c r="A15">
        <f>ROW(Source!A31)</f>
        <v>31</v>
      </c>
      <c r="B15">
        <v>62803415</v>
      </c>
      <c r="C15">
        <v>62803503</v>
      </c>
      <c r="D15">
        <v>27493207</v>
      </c>
      <c r="E15">
        <v>1</v>
      </c>
      <c r="F15">
        <v>1</v>
      </c>
      <c r="G15">
        <v>1</v>
      </c>
      <c r="H15">
        <v>1</v>
      </c>
      <c r="I15" t="s">
        <v>182</v>
      </c>
      <c r="J15" t="s">
        <v>6</v>
      </c>
      <c r="K15" t="s">
        <v>183</v>
      </c>
      <c r="L15">
        <v>1369</v>
      </c>
      <c r="N15">
        <v>1013</v>
      </c>
      <c r="O15" t="s">
        <v>184</v>
      </c>
      <c r="P15" t="s">
        <v>184</v>
      </c>
      <c r="Q15">
        <v>1</v>
      </c>
      <c r="W15">
        <v>0</v>
      </c>
      <c r="X15">
        <v>-1900352537</v>
      </c>
      <c r="Y15">
        <v>184.79999999999998</v>
      </c>
      <c r="AA15">
        <v>0</v>
      </c>
      <c r="AB15">
        <v>0</v>
      </c>
      <c r="AC15">
        <v>0</v>
      </c>
      <c r="AD15">
        <v>7.87</v>
      </c>
      <c r="AE15">
        <v>0</v>
      </c>
      <c r="AF15">
        <v>0</v>
      </c>
      <c r="AG15">
        <v>0</v>
      </c>
      <c r="AH15">
        <v>7.87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6</v>
      </c>
      <c r="AT15">
        <v>154</v>
      </c>
      <c r="AU15" t="s">
        <v>43</v>
      </c>
      <c r="AV15">
        <v>1</v>
      </c>
      <c r="AW15">
        <v>2</v>
      </c>
      <c r="AX15">
        <v>62807088</v>
      </c>
      <c r="AY15">
        <v>1</v>
      </c>
      <c r="AZ15">
        <v>0</v>
      </c>
      <c r="BA15">
        <v>17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Y15*Source!I31</f>
        <v>266.50007999999997</v>
      </c>
      <c r="CY15">
        <f>AD15</f>
        <v>7.87</v>
      </c>
      <c r="CZ15">
        <f>AH15</f>
        <v>7.87</v>
      </c>
      <c r="DA15">
        <f>AL15</f>
        <v>1</v>
      </c>
      <c r="DB15">
        <f>ROUND((ROUND(AT15*CZ15,2)*1.2),2)</f>
        <v>1454.38</v>
      </c>
      <c r="DC15">
        <f>ROUND((ROUND(AT15*AG15,2)*1.2),2)</f>
        <v>0</v>
      </c>
      <c r="DH15">
        <f>Source!I31*SmtRes!Y15</f>
        <v>266.50007999999997</v>
      </c>
      <c r="DI15">
        <f>AD15</f>
        <v>7.87</v>
      </c>
      <c r="DJ15">
        <f>EtalonRes!AB17</f>
        <v>7.87</v>
      </c>
      <c r="DK15">
        <f>Source!BA31</f>
        <v>1</v>
      </c>
      <c r="GQ15">
        <v>-1</v>
      </c>
      <c r="GR15">
        <v>-1</v>
      </c>
    </row>
    <row r="16" spans="1:200" x14ac:dyDescent="0.2">
      <c r="A16">
        <f>ROW(Source!A32)</f>
        <v>32</v>
      </c>
      <c r="B16">
        <v>62803416</v>
      </c>
      <c r="C16">
        <v>62803503</v>
      </c>
      <c r="D16">
        <v>27493207</v>
      </c>
      <c r="E16">
        <v>1</v>
      </c>
      <c r="F16">
        <v>1</v>
      </c>
      <c r="G16">
        <v>1</v>
      </c>
      <c r="H16">
        <v>1</v>
      </c>
      <c r="I16" t="s">
        <v>182</v>
      </c>
      <c r="J16" t="s">
        <v>6</v>
      </c>
      <c r="K16" t="s">
        <v>183</v>
      </c>
      <c r="L16">
        <v>1369</v>
      </c>
      <c r="N16">
        <v>1013</v>
      </c>
      <c r="O16" t="s">
        <v>184</v>
      </c>
      <c r="P16" t="s">
        <v>184</v>
      </c>
      <c r="Q16">
        <v>1</v>
      </c>
      <c r="W16">
        <v>0</v>
      </c>
      <c r="X16">
        <v>-1900352537</v>
      </c>
      <c r="Y16">
        <v>184.79999999999998</v>
      </c>
      <c r="AA16">
        <v>0</v>
      </c>
      <c r="AB16">
        <v>0</v>
      </c>
      <c r="AC16">
        <v>0</v>
      </c>
      <c r="AD16">
        <v>199.35</v>
      </c>
      <c r="AE16">
        <v>0</v>
      </c>
      <c r="AF16">
        <v>0</v>
      </c>
      <c r="AG16">
        <v>0</v>
      </c>
      <c r="AH16">
        <v>7.87</v>
      </c>
      <c r="AI16">
        <v>1</v>
      </c>
      <c r="AJ16">
        <v>1</v>
      </c>
      <c r="AK16">
        <v>1</v>
      </c>
      <c r="AL16">
        <v>25.33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6</v>
      </c>
      <c r="AT16">
        <v>154</v>
      </c>
      <c r="AU16" t="s">
        <v>43</v>
      </c>
      <c r="AV16">
        <v>1</v>
      </c>
      <c r="AW16">
        <v>2</v>
      </c>
      <c r="AX16">
        <v>62807088</v>
      </c>
      <c r="AY16">
        <v>1</v>
      </c>
      <c r="AZ16">
        <v>0</v>
      </c>
      <c r="BA16">
        <v>18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Y16*Source!I32</f>
        <v>266.50007999999997</v>
      </c>
      <c r="CY16">
        <f>AD16</f>
        <v>199.35</v>
      </c>
      <c r="CZ16">
        <f>AH16</f>
        <v>7.87</v>
      </c>
      <c r="DA16">
        <f>AL16</f>
        <v>25.33</v>
      </c>
      <c r="DB16">
        <f>ROUND((ROUND(AT16*CZ16,2)*1.2),2)</f>
        <v>1454.38</v>
      </c>
      <c r="DC16">
        <f>ROUND((ROUND(AT16*AG16,2)*1.2),2)</f>
        <v>0</v>
      </c>
      <c r="DH16">
        <f>Source!I32*SmtRes!Y16</f>
        <v>266.50007999999997</v>
      </c>
      <c r="DI16">
        <f>AD16</f>
        <v>199.35</v>
      </c>
      <c r="DJ16">
        <f>EtalonRes!AB18</f>
        <v>7.87</v>
      </c>
      <c r="DK16">
        <f>Source!BA32</f>
        <v>25.33</v>
      </c>
      <c r="GQ16">
        <v>-1</v>
      </c>
      <c r="GR16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ROW(Source!A25)</f>
        <v>25</v>
      </c>
      <c r="B1">
        <v>62803663</v>
      </c>
      <c r="C1">
        <v>62803480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25</v>
      </c>
      <c r="J1" t="s">
        <v>6</v>
      </c>
      <c r="K1" t="s">
        <v>173</v>
      </c>
      <c r="L1">
        <v>608254</v>
      </c>
      <c r="N1">
        <v>1013</v>
      </c>
      <c r="O1" t="s">
        <v>174</v>
      </c>
      <c r="P1" t="s">
        <v>174</v>
      </c>
      <c r="Q1">
        <v>1</v>
      </c>
      <c r="X1">
        <v>25.96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2</v>
      </c>
      <c r="AF1" t="s">
        <v>6</v>
      </c>
      <c r="AG1">
        <v>25.96</v>
      </c>
      <c r="AH1">
        <v>2</v>
      </c>
      <c r="AI1">
        <v>62803663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ROW(Source!A25)</f>
        <v>25</v>
      </c>
      <c r="B2">
        <v>62803664</v>
      </c>
      <c r="C2">
        <v>62803480</v>
      </c>
      <c r="D2">
        <v>27439781</v>
      </c>
      <c r="E2">
        <v>1</v>
      </c>
      <c r="F2">
        <v>1</v>
      </c>
      <c r="G2">
        <v>1</v>
      </c>
      <c r="H2">
        <v>2</v>
      </c>
      <c r="I2" t="s">
        <v>175</v>
      </c>
      <c r="J2" t="s">
        <v>176</v>
      </c>
      <c r="K2" t="s">
        <v>177</v>
      </c>
      <c r="L2">
        <v>1368</v>
      </c>
      <c r="N2">
        <v>1011</v>
      </c>
      <c r="O2" t="s">
        <v>178</v>
      </c>
      <c r="P2" t="s">
        <v>178</v>
      </c>
      <c r="Q2">
        <v>1</v>
      </c>
      <c r="X2">
        <v>25.96</v>
      </c>
      <c r="Y2">
        <v>0</v>
      </c>
      <c r="Z2">
        <v>122</v>
      </c>
      <c r="AA2">
        <v>13.61</v>
      </c>
      <c r="AB2">
        <v>0</v>
      </c>
      <c r="AC2">
        <v>0</v>
      </c>
      <c r="AD2">
        <v>1</v>
      </c>
      <c r="AE2">
        <v>0</v>
      </c>
      <c r="AF2" t="s">
        <v>6</v>
      </c>
      <c r="AG2">
        <v>25.96</v>
      </c>
      <c r="AH2">
        <v>2</v>
      </c>
      <c r="AI2">
        <v>62803664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ROW(Source!A26)</f>
        <v>26</v>
      </c>
      <c r="B3">
        <v>62803663</v>
      </c>
      <c r="C3">
        <v>62803480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25</v>
      </c>
      <c r="J3" t="s">
        <v>6</v>
      </c>
      <c r="K3" t="s">
        <v>173</v>
      </c>
      <c r="L3">
        <v>608254</v>
      </c>
      <c r="N3">
        <v>1013</v>
      </c>
      <c r="O3" t="s">
        <v>174</v>
      </c>
      <c r="P3" t="s">
        <v>174</v>
      </c>
      <c r="Q3">
        <v>1</v>
      </c>
      <c r="X3">
        <v>25.96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2</v>
      </c>
      <c r="AF3" t="s">
        <v>6</v>
      </c>
      <c r="AG3">
        <v>25.96</v>
      </c>
      <c r="AH3">
        <v>2</v>
      </c>
      <c r="AI3">
        <v>62803663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ROW(Source!A26)</f>
        <v>26</v>
      </c>
      <c r="B4">
        <v>62803664</v>
      </c>
      <c r="C4">
        <v>62803480</v>
      </c>
      <c r="D4">
        <v>27439781</v>
      </c>
      <c r="E4">
        <v>1</v>
      </c>
      <c r="F4">
        <v>1</v>
      </c>
      <c r="G4">
        <v>1</v>
      </c>
      <c r="H4">
        <v>2</v>
      </c>
      <c r="I4" t="s">
        <v>175</v>
      </c>
      <c r="J4" t="s">
        <v>176</v>
      </c>
      <c r="K4" t="s">
        <v>177</v>
      </c>
      <c r="L4">
        <v>1368</v>
      </c>
      <c r="N4">
        <v>1011</v>
      </c>
      <c r="O4" t="s">
        <v>178</v>
      </c>
      <c r="P4" t="s">
        <v>178</v>
      </c>
      <c r="Q4">
        <v>1</v>
      </c>
      <c r="X4">
        <v>25.96</v>
      </c>
      <c r="Y4">
        <v>0</v>
      </c>
      <c r="Z4">
        <v>122</v>
      </c>
      <c r="AA4">
        <v>13.61</v>
      </c>
      <c r="AB4">
        <v>0</v>
      </c>
      <c r="AC4">
        <v>0</v>
      </c>
      <c r="AD4">
        <v>1</v>
      </c>
      <c r="AE4">
        <v>0</v>
      </c>
      <c r="AF4" t="s">
        <v>6</v>
      </c>
      <c r="AG4">
        <v>25.96</v>
      </c>
      <c r="AH4">
        <v>2</v>
      </c>
      <c r="AI4">
        <v>62803664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ROW(Source!A27)</f>
        <v>27</v>
      </c>
      <c r="B5">
        <v>62803492</v>
      </c>
      <c r="C5">
        <v>62803490</v>
      </c>
      <c r="D5">
        <v>27441335</v>
      </c>
      <c r="E5">
        <v>1</v>
      </c>
      <c r="F5">
        <v>1</v>
      </c>
      <c r="G5">
        <v>1</v>
      </c>
      <c r="H5">
        <v>2</v>
      </c>
      <c r="I5" t="s">
        <v>179</v>
      </c>
      <c r="J5" t="s">
        <v>180</v>
      </c>
      <c r="K5" t="s">
        <v>181</v>
      </c>
      <c r="L5">
        <v>1368</v>
      </c>
      <c r="N5">
        <v>1011</v>
      </c>
      <c r="O5" t="s">
        <v>178</v>
      </c>
      <c r="P5" t="s">
        <v>178</v>
      </c>
      <c r="Q5">
        <v>1</v>
      </c>
      <c r="X5">
        <v>2.5899999999999999E-2</v>
      </c>
      <c r="Y5">
        <v>0</v>
      </c>
      <c r="Z5">
        <v>114.93</v>
      </c>
      <c r="AA5">
        <v>13.61</v>
      </c>
      <c r="AB5">
        <v>0</v>
      </c>
      <c r="AC5">
        <v>0</v>
      </c>
      <c r="AD5">
        <v>1</v>
      </c>
      <c r="AE5">
        <v>0</v>
      </c>
      <c r="AF5" t="s">
        <v>6</v>
      </c>
      <c r="AG5">
        <v>2.5899999999999999E-2</v>
      </c>
      <c r="AH5">
        <v>2</v>
      </c>
      <c r="AI5">
        <v>62803491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ROW(Source!A28)</f>
        <v>28</v>
      </c>
      <c r="B6">
        <v>62803492</v>
      </c>
      <c r="C6">
        <v>62803490</v>
      </c>
      <c r="D6">
        <v>27441335</v>
      </c>
      <c r="E6">
        <v>1</v>
      </c>
      <c r="F6">
        <v>1</v>
      </c>
      <c r="G6">
        <v>1</v>
      </c>
      <c r="H6">
        <v>2</v>
      </c>
      <c r="I6" t="s">
        <v>179</v>
      </c>
      <c r="J6" t="s">
        <v>180</v>
      </c>
      <c r="K6" t="s">
        <v>181</v>
      </c>
      <c r="L6">
        <v>1368</v>
      </c>
      <c r="N6">
        <v>1011</v>
      </c>
      <c r="O6" t="s">
        <v>178</v>
      </c>
      <c r="P6" t="s">
        <v>178</v>
      </c>
      <c r="Q6">
        <v>1</v>
      </c>
      <c r="X6">
        <v>2.5899999999999999E-2</v>
      </c>
      <c r="Y6">
        <v>0</v>
      </c>
      <c r="Z6">
        <v>114.93</v>
      </c>
      <c r="AA6">
        <v>13.61</v>
      </c>
      <c r="AB6">
        <v>0</v>
      </c>
      <c r="AC6">
        <v>0</v>
      </c>
      <c r="AD6">
        <v>1</v>
      </c>
      <c r="AE6">
        <v>0</v>
      </c>
      <c r="AF6" t="s">
        <v>6</v>
      </c>
      <c r="AG6">
        <v>2.5899999999999999E-2</v>
      </c>
      <c r="AH6">
        <v>2</v>
      </c>
      <c r="AI6">
        <v>62803491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ROW(Source!A29)</f>
        <v>29</v>
      </c>
      <c r="B7">
        <v>62807348</v>
      </c>
      <c r="C7">
        <v>62803493</v>
      </c>
      <c r="D7">
        <v>27493207</v>
      </c>
      <c r="E7">
        <v>1</v>
      </c>
      <c r="F7">
        <v>1</v>
      </c>
      <c r="G7">
        <v>1</v>
      </c>
      <c r="H7">
        <v>1</v>
      </c>
      <c r="I7" t="s">
        <v>182</v>
      </c>
      <c r="J7" t="s">
        <v>6</v>
      </c>
      <c r="K7" t="s">
        <v>183</v>
      </c>
      <c r="L7">
        <v>1369</v>
      </c>
      <c r="N7">
        <v>1013</v>
      </c>
      <c r="O7" t="s">
        <v>184</v>
      </c>
      <c r="P7" t="s">
        <v>184</v>
      </c>
      <c r="Q7">
        <v>1</v>
      </c>
      <c r="X7">
        <v>3.65</v>
      </c>
      <c r="Y7">
        <v>0</v>
      </c>
      <c r="Z7">
        <v>0</v>
      </c>
      <c r="AA7">
        <v>0</v>
      </c>
      <c r="AB7">
        <v>7.87</v>
      </c>
      <c r="AC7">
        <v>0</v>
      </c>
      <c r="AD7">
        <v>1</v>
      </c>
      <c r="AE7">
        <v>1</v>
      </c>
      <c r="AF7" t="s">
        <v>6</v>
      </c>
      <c r="AG7">
        <v>3.65</v>
      </c>
      <c r="AH7">
        <v>2</v>
      </c>
      <c r="AI7">
        <v>62807348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ROW(Source!A29)</f>
        <v>29</v>
      </c>
      <c r="B8">
        <v>62807349</v>
      </c>
      <c r="C8">
        <v>62803493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25</v>
      </c>
      <c r="J8" t="s">
        <v>6</v>
      </c>
      <c r="K8" t="s">
        <v>173</v>
      </c>
      <c r="L8">
        <v>608254</v>
      </c>
      <c r="N8">
        <v>1013</v>
      </c>
      <c r="O8" t="s">
        <v>174</v>
      </c>
      <c r="P8" t="s">
        <v>174</v>
      </c>
      <c r="Q8">
        <v>1</v>
      </c>
      <c r="X8">
        <v>3.97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6</v>
      </c>
      <c r="AG8">
        <v>3.97</v>
      </c>
      <c r="AH8">
        <v>2</v>
      </c>
      <c r="AI8">
        <v>62807349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ROW(Source!A29)</f>
        <v>29</v>
      </c>
      <c r="B9">
        <v>62807350</v>
      </c>
      <c r="C9">
        <v>62803493</v>
      </c>
      <c r="D9">
        <v>27439851</v>
      </c>
      <c r="E9">
        <v>1</v>
      </c>
      <c r="F9">
        <v>1</v>
      </c>
      <c r="G9">
        <v>1</v>
      </c>
      <c r="H9">
        <v>2</v>
      </c>
      <c r="I9" t="s">
        <v>185</v>
      </c>
      <c r="J9" t="s">
        <v>186</v>
      </c>
      <c r="K9" t="s">
        <v>187</v>
      </c>
      <c r="L9">
        <v>1368</v>
      </c>
      <c r="N9">
        <v>1011</v>
      </c>
      <c r="O9" t="s">
        <v>178</v>
      </c>
      <c r="P9" t="s">
        <v>178</v>
      </c>
      <c r="Q9">
        <v>1</v>
      </c>
      <c r="X9">
        <v>3.97</v>
      </c>
      <c r="Y9">
        <v>0</v>
      </c>
      <c r="Z9">
        <v>88.79</v>
      </c>
      <c r="AA9">
        <v>13.61</v>
      </c>
      <c r="AB9">
        <v>0</v>
      </c>
      <c r="AC9">
        <v>0</v>
      </c>
      <c r="AD9">
        <v>1</v>
      </c>
      <c r="AE9">
        <v>0</v>
      </c>
      <c r="AF9" t="s">
        <v>6</v>
      </c>
      <c r="AG9">
        <v>3.97</v>
      </c>
      <c r="AH9">
        <v>2</v>
      </c>
      <c r="AI9">
        <v>62807350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ROW(Source!A29)</f>
        <v>29</v>
      </c>
      <c r="B10">
        <v>62807351</v>
      </c>
      <c r="C10">
        <v>62803493</v>
      </c>
      <c r="D10">
        <v>27441334</v>
      </c>
      <c r="E10">
        <v>1</v>
      </c>
      <c r="F10">
        <v>1</v>
      </c>
      <c r="G10">
        <v>1</v>
      </c>
      <c r="H10">
        <v>2</v>
      </c>
      <c r="I10" t="s">
        <v>188</v>
      </c>
      <c r="J10" t="s">
        <v>189</v>
      </c>
      <c r="K10" t="s">
        <v>190</v>
      </c>
      <c r="L10">
        <v>1368</v>
      </c>
      <c r="N10">
        <v>1011</v>
      </c>
      <c r="O10" t="s">
        <v>178</v>
      </c>
      <c r="P10" t="s">
        <v>178</v>
      </c>
      <c r="Q10">
        <v>1</v>
      </c>
      <c r="X10">
        <v>0.08</v>
      </c>
      <c r="Y10">
        <v>0</v>
      </c>
      <c r="Z10">
        <v>115.67</v>
      </c>
      <c r="AA10">
        <v>11.69</v>
      </c>
      <c r="AB10">
        <v>0</v>
      </c>
      <c r="AC10">
        <v>0</v>
      </c>
      <c r="AD10">
        <v>1</v>
      </c>
      <c r="AE10">
        <v>0</v>
      </c>
      <c r="AF10" t="s">
        <v>6</v>
      </c>
      <c r="AG10">
        <v>0.08</v>
      </c>
      <c r="AH10">
        <v>2</v>
      </c>
      <c r="AI10">
        <v>62807351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ROW(Source!A29)</f>
        <v>29</v>
      </c>
      <c r="B11">
        <v>62807352</v>
      </c>
      <c r="C11">
        <v>62803493</v>
      </c>
      <c r="D11">
        <v>27415978</v>
      </c>
      <c r="E11">
        <v>1</v>
      </c>
      <c r="F11">
        <v>1</v>
      </c>
      <c r="G11">
        <v>1</v>
      </c>
      <c r="H11">
        <v>3</v>
      </c>
      <c r="I11" t="s">
        <v>191</v>
      </c>
      <c r="J11" t="s">
        <v>192</v>
      </c>
      <c r="K11" t="s">
        <v>193</v>
      </c>
      <c r="L11">
        <v>1339</v>
      </c>
      <c r="N11">
        <v>1007</v>
      </c>
      <c r="O11" t="s">
        <v>194</v>
      </c>
      <c r="P11" t="s">
        <v>194</v>
      </c>
      <c r="Q11">
        <v>1</v>
      </c>
      <c r="X11">
        <v>0.04</v>
      </c>
      <c r="Y11">
        <v>109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6</v>
      </c>
      <c r="AG11">
        <v>0.04</v>
      </c>
      <c r="AH11">
        <v>3</v>
      </c>
      <c r="AI11">
        <v>-1</v>
      </c>
      <c r="AJ11" t="s">
        <v>6</v>
      </c>
      <c r="AK11">
        <v>4</v>
      </c>
      <c r="AL11">
        <v>-4.3600000000000003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1</v>
      </c>
    </row>
    <row r="12" spans="1:44" x14ac:dyDescent="0.2">
      <c r="A12">
        <f>ROW(Source!A30)</f>
        <v>30</v>
      </c>
      <c r="B12">
        <v>62807348</v>
      </c>
      <c r="C12">
        <v>62803493</v>
      </c>
      <c r="D12">
        <v>27493207</v>
      </c>
      <c r="E12">
        <v>1</v>
      </c>
      <c r="F12">
        <v>1</v>
      </c>
      <c r="G12">
        <v>1</v>
      </c>
      <c r="H12">
        <v>1</v>
      </c>
      <c r="I12" t="s">
        <v>182</v>
      </c>
      <c r="J12" t="s">
        <v>6</v>
      </c>
      <c r="K12" t="s">
        <v>183</v>
      </c>
      <c r="L12">
        <v>1369</v>
      </c>
      <c r="N12">
        <v>1013</v>
      </c>
      <c r="O12" t="s">
        <v>184</v>
      </c>
      <c r="P12" t="s">
        <v>184</v>
      </c>
      <c r="Q12">
        <v>1</v>
      </c>
      <c r="X12">
        <v>3.65</v>
      </c>
      <c r="Y12">
        <v>0</v>
      </c>
      <c r="Z12">
        <v>0</v>
      </c>
      <c r="AA12">
        <v>0</v>
      </c>
      <c r="AB12">
        <v>7.87</v>
      </c>
      <c r="AC12">
        <v>0</v>
      </c>
      <c r="AD12">
        <v>1</v>
      </c>
      <c r="AE12">
        <v>1</v>
      </c>
      <c r="AF12" t="s">
        <v>6</v>
      </c>
      <c r="AG12">
        <v>3.65</v>
      </c>
      <c r="AH12">
        <v>2</v>
      </c>
      <c r="AI12">
        <v>62807348</v>
      </c>
      <c r="AJ12">
        <v>11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ROW(Source!A30)</f>
        <v>30</v>
      </c>
      <c r="B13">
        <v>62807349</v>
      </c>
      <c r="C13">
        <v>62803493</v>
      </c>
      <c r="D13">
        <v>121548</v>
      </c>
      <c r="E13">
        <v>1</v>
      </c>
      <c r="F13">
        <v>1</v>
      </c>
      <c r="G13">
        <v>1</v>
      </c>
      <c r="H13">
        <v>1</v>
      </c>
      <c r="I13" t="s">
        <v>25</v>
      </c>
      <c r="J13" t="s">
        <v>6</v>
      </c>
      <c r="K13" t="s">
        <v>173</v>
      </c>
      <c r="L13">
        <v>608254</v>
      </c>
      <c r="N13">
        <v>1013</v>
      </c>
      <c r="O13" t="s">
        <v>174</v>
      </c>
      <c r="P13" t="s">
        <v>174</v>
      </c>
      <c r="Q13">
        <v>1</v>
      </c>
      <c r="X13">
        <v>3.97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2</v>
      </c>
      <c r="AF13" t="s">
        <v>6</v>
      </c>
      <c r="AG13">
        <v>3.97</v>
      </c>
      <c r="AH13">
        <v>2</v>
      </c>
      <c r="AI13">
        <v>62807349</v>
      </c>
      <c r="AJ13">
        <v>12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ROW(Source!A30)</f>
        <v>30</v>
      </c>
      <c r="B14">
        <v>62807350</v>
      </c>
      <c r="C14">
        <v>62803493</v>
      </c>
      <c r="D14">
        <v>27439851</v>
      </c>
      <c r="E14">
        <v>1</v>
      </c>
      <c r="F14">
        <v>1</v>
      </c>
      <c r="G14">
        <v>1</v>
      </c>
      <c r="H14">
        <v>2</v>
      </c>
      <c r="I14" t="s">
        <v>185</v>
      </c>
      <c r="J14" t="s">
        <v>186</v>
      </c>
      <c r="K14" t="s">
        <v>187</v>
      </c>
      <c r="L14">
        <v>1368</v>
      </c>
      <c r="N14">
        <v>1011</v>
      </c>
      <c r="O14" t="s">
        <v>178</v>
      </c>
      <c r="P14" t="s">
        <v>178</v>
      </c>
      <c r="Q14">
        <v>1</v>
      </c>
      <c r="X14">
        <v>3.97</v>
      </c>
      <c r="Y14">
        <v>0</v>
      </c>
      <c r="Z14">
        <v>88.79</v>
      </c>
      <c r="AA14">
        <v>13.61</v>
      </c>
      <c r="AB14">
        <v>0</v>
      </c>
      <c r="AC14">
        <v>0</v>
      </c>
      <c r="AD14">
        <v>1</v>
      </c>
      <c r="AE14">
        <v>0</v>
      </c>
      <c r="AF14" t="s">
        <v>6</v>
      </c>
      <c r="AG14">
        <v>3.97</v>
      </c>
      <c r="AH14">
        <v>2</v>
      </c>
      <c r="AI14">
        <v>62807350</v>
      </c>
      <c r="AJ14">
        <v>13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ROW(Source!A30)</f>
        <v>30</v>
      </c>
      <c r="B15">
        <v>62807351</v>
      </c>
      <c r="C15">
        <v>62803493</v>
      </c>
      <c r="D15">
        <v>27441334</v>
      </c>
      <c r="E15">
        <v>1</v>
      </c>
      <c r="F15">
        <v>1</v>
      </c>
      <c r="G15">
        <v>1</v>
      </c>
      <c r="H15">
        <v>2</v>
      </c>
      <c r="I15" t="s">
        <v>188</v>
      </c>
      <c r="J15" t="s">
        <v>189</v>
      </c>
      <c r="K15" t="s">
        <v>190</v>
      </c>
      <c r="L15">
        <v>1368</v>
      </c>
      <c r="N15">
        <v>1011</v>
      </c>
      <c r="O15" t="s">
        <v>178</v>
      </c>
      <c r="P15" t="s">
        <v>178</v>
      </c>
      <c r="Q15">
        <v>1</v>
      </c>
      <c r="X15">
        <v>0.08</v>
      </c>
      <c r="Y15">
        <v>0</v>
      </c>
      <c r="Z15">
        <v>115.67</v>
      </c>
      <c r="AA15">
        <v>11.69</v>
      </c>
      <c r="AB15">
        <v>0</v>
      </c>
      <c r="AC15">
        <v>0</v>
      </c>
      <c r="AD15">
        <v>1</v>
      </c>
      <c r="AE15">
        <v>0</v>
      </c>
      <c r="AF15" t="s">
        <v>6</v>
      </c>
      <c r="AG15">
        <v>0.08</v>
      </c>
      <c r="AH15">
        <v>2</v>
      </c>
      <c r="AI15">
        <v>62807351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ROW(Source!A30)</f>
        <v>30</v>
      </c>
      <c r="B16">
        <v>62807352</v>
      </c>
      <c r="C16">
        <v>62803493</v>
      </c>
      <c r="D16">
        <v>27415978</v>
      </c>
      <c r="E16">
        <v>1</v>
      </c>
      <c r="F16">
        <v>1</v>
      </c>
      <c r="G16">
        <v>1</v>
      </c>
      <c r="H16">
        <v>3</v>
      </c>
      <c r="I16" t="s">
        <v>191</v>
      </c>
      <c r="J16" t="s">
        <v>192</v>
      </c>
      <c r="K16" t="s">
        <v>193</v>
      </c>
      <c r="L16">
        <v>1339</v>
      </c>
      <c r="N16">
        <v>1007</v>
      </c>
      <c r="O16" t="s">
        <v>194</v>
      </c>
      <c r="P16" t="s">
        <v>194</v>
      </c>
      <c r="Q16">
        <v>1</v>
      </c>
      <c r="X16">
        <v>0.04</v>
      </c>
      <c r="Y16">
        <v>109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6</v>
      </c>
      <c r="AG16">
        <v>0.04</v>
      </c>
      <c r="AH16">
        <v>3</v>
      </c>
      <c r="AI16">
        <v>-1</v>
      </c>
      <c r="AJ16" t="s">
        <v>6</v>
      </c>
      <c r="AK16">
        <v>4</v>
      </c>
      <c r="AL16">
        <v>-4.3600000000000003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</v>
      </c>
    </row>
    <row r="17" spans="1:44" x14ac:dyDescent="0.2">
      <c r="A17">
        <f>ROW(Source!A31)</f>
        <v>31</v>
      </c>
      <c r="B17">
        <v>62807088</v>
      </c>
      <c r="C17">
        <v>62803503</v>
      </c>
      <c r="D17">
        <v>27493207</v>
      </c>
      <c r="E17">
        <v>1</v>
      </c>
      <c r="F17">
        <v>1</v>
      </c>
      <c r="G17">
        <v>1</v>
      </c>
      <c r="H17">
        <v>1</v>
      </c>
      <c r="I17" t="s">
        <v>182</v>
      </c>
      <c r="J17" t="s">
        <v>6</v>
      </c>
      <c r="K17" t="s">
        <v>183</v>
      </c>
      <c r="L17">
        <v>1369</v>
      </c>
      <c r="N17">
        <v>1013</v>
      </c>
      <c r="O17" t="s">
        <v>184</v>
      </c>
      <c r="P17" t="s">
        <v>184</v>
      </c>
      <c r="Q17">
        <v>1</v>
      </c>
      <c r="X17">
        <v>154</v>
      </c>
      <c r="Y17">
        <v>0</v>
      </c>
      <c r="Z17">
        <v>0</v>
      </c>
      <c r="AA17">
        <v>0</v>
      </c>
      <c r="AB17">
        <v>7.87</v>
      </c>
      <c r="AC17">
        <v>0</v>
      </c>
      <c r="AD17">
        <v>1</v>
      </c>
      <c r="AE17">
        <v>1</v>
      </c>
      <c r="AF17" t="s">
        <v>43</v>
      </c>
      <c r="AG17">
        <v>184.79999999999998</v>
      </c>
      <c r="AH17">
        <v>2</v>
      </c>
      <c r="AI17">
        <v>62807088</v>
      </c>
      <c r="AJ17">
        <v>15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ROW(Source!A32)</f>
        <v>32</v>
      </c>
      <c r="B18">
        <v>62807088</v>
      </c>
      <c r="C18">
        <v>62803503</v>
      </c>
      <c r="D18">
        <v>27493207</v>
      </c>
      <c r="E18">
        <v>1</v>
      </c>
      <c r="F18">
        <v>1</v>
      </c>
      <c r="G18">
        <v>1</v>
      </c>
      <c r="H18">
        <v>1</v>
      </c>
      <c r="I18" t="s">
        <v>182</v>
      </c>
      <c r="J18" t="s">
        <v>6</v>
      </c>
      <c r="K18" t="s">
        <v>183</v>
      </c>
      <c r="L18">
        <v>1369</v>
      </c>
      <c r="N18">
        <v>1013</v>
      </c>
      <c r="O18" t="s">
        <v>184</v>
      </c>
      <c r="P18" t="s">
        <v>184</v>
      </c>
      <c r="Q18">
        <v>1</v>
      </c>
      <c r="X18">
        <v>154</v>
      </c>
      <c r="Y18">
        <v>0</v>
      </c>
      <c r="Z18">
        <v>0</v>
      </c>
      <c r="AA18">
        <v>0</v>
      </c>
      <c r="AB18">
        <v>7.87</v>
      </c>
      <c r="AC18">
        <v>0</v>
      </c>
      <c r="AD18">
        <v>1</v>
      </c>
      <c r="AE18">
        <v>1</v>
      </c>
      <c r="AF18" t="s">
        <v>43</v>
      </c>
      <c r="AG18">
        <v>184.79999999999998</v>
      </c>
      <c r="AH18">
        <v>2</v>
      </c>
      <c r="AI18">
        <v>62807088</v>
      </c>
      <c r="AJ18">
        <v>16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48"/>
  <sheetViews>
    <sheetView topLeftCell="A22" workbookViewId="0">
      <selection activeCell="E22" sqref="E22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28" t="s">
        <v>211</v>
      </c>
      <c r="B1" s="328"/>
      <c r="C1" s="328"/>
      <c r="D1" s="328"/>
      <c r="E1" s="328"/>
      <c r="F1" s="328"/>
      <c r="G1" s="328"/>
    </row>
    <row r="3" spans="1:255" x14ac:dyDescent="0.2">
      <c r="A3" s="20" t="s">
        <v>218</v>
      </c>
      <c r="B3" s="19"/>
      <c r="C3" s="329"/>
      <c r="D3" s="330"/>
      <c r="E3" s="330"/>
      <c r="F3" s="330"/>
      <c r="G3" s="330"/>
      <c r="BR3" s="22">
        <f>C3</f>
        <v>0</v>
      </c>
      <c r="IU3" s="23"/>
    </row>
    <row r="4" spans="1:255" x14ac:dyDescent="0.2">
      <c r="A4" s="20" t="s">
        <v>220</v>
      </c>
      <c r="B4" s="19"/>
      <c r="C4" s="331"/>
      <c r="D4" s="332"/>
      <c r="E4" s="332"/>
      <c r="F4" s="332"/>
      <c r="G4" s="332"/>
      <c r="BR4" s="22">
        <f>C4</f>
        <v>0</v>
      </c>
      <c r="IU4" s="23"/>
    </row>
    <row r="5" spans="1:255" x14ac:dyDescent="0.2">
      <c r="A5" s="20" t="s">
        <v>221</v>
      </c>
      <c r="B5" s="19"/>
      <c r="C5" s="331"/>
      <c r="D5" s="332"/>
      <c r="E5" s="332"/>
      <c r="F5" s="332"/>
      <c r="G5" s="332"/>
      <c r="BR5" s="22">
        <f>C5</f>
        <v>0</v>
      </c>
      <c r="IU5" s="23"/>
    </row>
    <row r="6" spans="1:255" x14ac:dyDescent="0.2">
      <c r="A6" s="20" t="s">
        <v>222</v>
      </c>
      <c r="B6" s="19"/>
      <c r="C6" s="333"/>
      <c r="D6" s="334"/>
      <c r="E6" s="334"/>
      <c r="F6" s="334"/>
      <c r="G6" s="334"/>
      <c r="BR6" s="22">
        <f>C6</f>
        <v>0</v>
      </c>
      <c r="IU6" s="23"/>
    </row>
    <row r="7" spans="1:255" x14ac:dyDescent="0.2">
      <c r="A7" s="335"/>
      <c r="B7" s="335"/>
      <c r="C7" s="335"/>
      <c r="D7" s="335"/>
      <c r="E7" s="335"/>
      <c r="F7" s="335"/>
      <c r="G7" s="335"/>
    </row>
    <row r="8" spans="1:255" ht="18.75" x14ac:dyDescent="0.3">
      <c r="A8" s="336" t="s">
        <v>371</v>
      </c>
      <c r="B8" s="336"/>
      <c r="C8" s="336"/>
      <c r="D8" s="336"/>
      <c r="E8" s="336"/>
      <c r="F8" s="336"/>
      <c r="G8" s="336"/>
    </row>
    <row r="9" spans="1:255" x14ac:dyDescent="0.2">
      <c r="A9" s="337"/>
      <c r="B9" s="337"/>
      <c r="C9" s="337"/>
      <c r="D9" s="337"/>
      <c r="E9" s="337"/>
      <c r="F9" s="337"/>
      <c r="G9" s="337"/>
    </row>
    <row r="10" spans="1:255" x14ac:dyDescent="0.2">
      <c r="A10" s="337"/>
      <c r="B10" s="337"/>
      <c r="C10" s="337"/>
      <c r="D10" s="337"/>
      <c r="E10" s="337"/>
      <c r="F10" s="337"/>
      <c r="G10" s="337"/>
    </row>
    <row r="11" spans="1:255" ht="47.25" x14ac:dyDescent="0.25">
      <c r="A11" s="14" t="s">
        <v>349</v>
      </c>
      <c r="B11" s="338" t="s">
        <v>4</v>
      </c>
      <c r="C11" s="338"/>
      <c r="D11" s="338"/>
      <c r="E11" s="338"/>
      <c r="F11" s="338"/>
      <c r="G11" s="338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47.25" x14ac:dyDescent="0.25">
      <c r="A12" s="14" t="s">
        <v>224</v>
      </c>
      <c r="B12" s="339" t="s">
        <v>4</v>
      </c>
      <c r="C12" s="339"/>
      <c r="D12" s="339"/>
      <c r="E12" s="339"/>
      <c r="F12" s="339"/>
      <c r="G12" s="339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26" t="s">
        <v>244</v>
      </c>
      <c r="C13" s="327"/>
      <c r="D13" s="327"/>
      <c r="E13" s="327"/>
      <c r="F13" s="327"/>
      <c r="G13" s="327"/>
      <c r="BT13" s="22">
        <f>C13</f>
        <v>0</v>
      </c>
      <c r="IU13" s="23"/>
    </row>
    <row r="15" spans="1:255" x14ac:dyDescent="0.2">
      <c r="A15" s="14" t="s">
        <v>372</v>
      </c>
    </row>
    <row r="16" spans="1:255" x14ac:dyDescent="0.2">
      <c r="A16" s="14" t="s">
        <v>240</v>
      </c>
    </row>
    <row r="17" spans="1:255" x14ac:dyDescent="0.2">
      <c r="A17" s="168" t="s">
        <v>350</v>
      </c>
      <c r="B17" s="168" t="s">
        <v>352</v>
      </c>
      <c r="C17" s="168" t="s">
        <v>355</v>
      </c>
      <c r="D17" s="168" t="s">
        <v>357</v>
      </c>
      <c r="E17" s="168" t="s">
        <v>360</v>
      </c>
      <c r="F17" s="168" t="s">
        <v>362</v>
      </c>
      <c r="G17" s="168" t="s">
        <v>364</v>
      </c>
      <c r="H17" s="168" t="s">
        <v>366</v>
      </c>
      <c r="I17" s="169" t="s">
        <v>327</v>
      </c>
    </row>
    <row r="18" spans="1:255" x14ac:dyDescent="0.2">
      <c r="A18" s="170" t="s">
        <v>351</v>
      </c>
      <c r="B18" s="170" t="s">
        <v>353</v>
      </c>
      <c r="C18" s="170" t="s">
        <v>373</v>
      </c>
      <c r="D18" s="170" t="s">
        <v>358</v>
      </c>
      <c r="E18" s="170" t="s">
        <v>361</v>
      </c>
      <c r="F18" s="170" t="s">
        <v>363</v>
      </c>
      <c r="G18" s="170" t="s">
        <v>365</v>
      </c>
      <c r="H18" s="170" t="s">
        <v>367</v>
      </c>
      <c r="I18" s="171" t="s">
        <v>272</v>
      </c>
    </row>
    <row r="19" spans="1:255" x14ac:dyDescent="0.2">
      <c r="A19" s="170"/>
      <c r="B19" s="170" t="s">
        <v>354</v>
      </c>
      <c r="C19" s="170"/>
      <c r="D19" s="170" t="s">
        <v>359</v>
      </c>
      <c r="E19" s="170"/>
      <c r="F19" s="170"/>
      <c r="G19" s="170" t="s">
        <v>363</v>
      </c>
      <c r="H19" s="170" t="s">
        <v>368</v>
      </c>
      <c r="I19" s="171"/>
    </row>
    <row r="20" spans="1:255" x14ac:dyDescent="0.2">
      <c r="A20" s="168">
        <v>1</v>
      </c>
      <c r="B20" s="168">
        <v>2</v>
      </c>
      <c r="C20" s="168">
        <v>3</v>
      </c>
      <c r="D20" s="168">
        <v>4</v>
      </c>
      <c r="E20" s="168">
        <v>5</v>
      </c>
      <c r="F20" s="168">
        <v>6</v>
      </c>
      <c r="G20" s="168">
        <v>7</v>
      </c>
      <c r="H20" s="168">
        <v>8</v>
      </c>
      <c r="I20" s="169">
        <v>9</v>
      </c>
    </row>
    <row r="21" spans="1:255" x14ac:dyDescent="0.2">
      <c r="A21" s="184"/>
      <c r="B21" s="184" t="s">
        <v>374</v>
      </c>
      <c r="C21" s="184"/>
      <c r="D21" s="184"/>
      <c r="E21" s="184"/>
      <c r="F21" s="184"/>
      <c r="G21" s="181"/>
      <c r="H21" s="181"/>
      <c r="I21" s="181"/>
    </row>
    <row r="22" spans="1:255" s="42" customFormat="1" ht="24" x14ac:dyDescent="0.2">
      <c r="A22" s="185">
        <v>1</v>
      </c>
      <c r="B22" s="186" t="s">
        <v>182</v>
      </c>
      <c r="C22" s="186" t="s">
        <v>183</v>
      </c>
      <c r="D22" s="186" t="s">
        <v>184</v>
      </c>
      <c r="E22" s="187">
        <v>278.18263499999995</v>
      </c>
      <c r="F22" s="188">
        <f>ROUND( 7.87, 2 )</f>
        <v>7.87</v>
      </c>
      <c r="G22" s="189">
        <f>ROUND(E22*F22,0)</f>
        <v>2189</v>
      </c>
      <c r="H22" s="190" t="s">
        <v>377</v>
      </c>
      <c r="I22" s="190" t="s">
        <v>376</v>
      </c>
    </row>
    <row r="23" spans="1:255" s="42" customFormat="1" ht="12" x14ac:dyDescent="0.2">
      <c r="A23" s="185">
        <v>2</v>
      </c>
      <c r="B23" s="186" t="s">
        <v>25</v>
      </c>
      <c r="C23" s="186" t="s">
        <v>173</v>
      </c>
      <c r="D23" s="186" t="s">
        <v>174</v>
      </c>
      <c r="E23" s="187">
        <v>95.796950999999993</v>
      </c>
      <c r="F23" s="188">
        <f>ROUND( 0, 2 )</f>
        <v>0</v>
      </c>
      <c r="G23" s="189">
        <f>ROUND(E23*F23,0)</f>
        <v>0</v>
      </c>
      <c r="H23" s="191" t="s">
        <v>375</v>
      </c>
      <c r="I23" s="191" t="s">
        <v>376</v>
      </c>
    </row>
    <row r="24" spans="1:255" x14ac:dyDescent="0.2">
      <c r="A24" s="181"/>
      <c r="B24" s="181"/>
      <c r="C24" s="182" t="s">
        <v>325</v>
      </c>
      <c r="D24" s="181"/>
      <c r="E24" s="181"/>
      <c r="F24" s="181"/>
      <c r="G24" s="183">
        <f>ROUND(SUM(G22:G23),0)</f>
        <v>2189</v>
      </c>
      <c r="H24" s="181"/>
      <c r="I24" s="181"/>
      <c r="J24" s="23"/>
      <c r="K24" s="180">
        <f>G24</f>
        <v>2189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</row>
    <row r="25" spans="1:255" x14ac:dyDescent="0.2">
      <c r="A25" s="181"/>
      <c r="B25" s="181"/>
      <c r="C25" s="181"/>
      <c r="D25" s="181"/>
      <c r="E25" s="181"/>
      <c r="F25" s="181"/>
      <c r="G25" s="181"/>
      <c r="H25" s="181"/>
      <c r="I25" s="181"/>
    </row>
    <row r="26" spans="1:255" x14ac:dyDescent="0.2">
      <c r="A26" s="184"/>
      <c r="B26" s="184" t="s">
        <v>378</v>
      </c>
      <c r="C26" s="184"/>
      <c r="D26" s="184"/>
      <c r="E26" s="184"/>
      <c r="F26" s="184"/>
      <c r="G26" s="181"/>
      <c r="H26" s="181"/>
      <c r="I26" s="181"/>
    </row>
    <row r="27" spans="1:255" s="42" customFormat="1" ht="48" x14ac:dyDescent="0.2">
      <c r="A27" s="185">
        <v>3</v>
      </c>
      <c r="B27" s="186" t="s">
        <v>175</v>
      </c>
      <c r="C27" s="186" t="s">
        <v>177</v>
      </c>
      <c r="D27" s="186" t="s">
        <v>178</v>
      </c>
      <c r="E27" s="187">
        <v>83.090171999999995</v>
      </c>
      <c r="F27" s="188">
        <f>ROUND( 122, 2 )</f>
        <v>122</v>
      </c>
      <c r="G27" s="189">
        <f>ROUND(E27*F27,0)</f>
        <v>10137</v>
      </c>
      <c r="H27" s="190" t="s">
        <v>379</v>
      </c>
      <c r="I27" s="190" t="s">
        <v>376</v>
      </c>
    </row>
    <row r="28" spans="1:255" s="42" customFormat="1" ht="24" x14ac:dyDescent="0.2">
      <c r="A28" s="185">
        <v>4</v>
      </c>
      <c r="B28" s="186" t="s">
        <v>185</v>
      </c>
      <c r="C28" s="186" t="s">
        <v>187</v>
      </c>
      <c r="D28" s="186" t="s">
        <v>178</v>
      </c>
      <c r="E28" s="187">
        <v>12.706779000000001</v>
      </c>
      <c r="F28" s="188">
        <f>ROUND( 88.79, 2 )</f>
        <v>88.79</v>
      </c>
      <c r="G28" s="189">
        <f>ROUND(E28*F28,0)</f>
        <v>1128</v>
      </c>
      <c r="H28" s="190" t="s">
        <v>381</v>
      </c>
      <c r="I28" s="190" t="s">
        <v>376</v>
      </c>
    </row>
    <row r="29" spans="1:255" s="42" customFormat="1" ht="24" x14ac:dyDescent="0.2">
      <c r="A29" s="185">
        <v>5</v>
      </c>
      <c r="B29" s="186" t="s">
        <v>188</v>
      </c>
      <c r="C29" s="186" t="s">
        <v>190</v>
      </c>
      <c r="D29" s="186" t="s">
        <v>178</v>
      </c>
      <c r="E29" s="187">
        <v>0.25605600000000001</v>
      </c>
      <c r="F29" s="188">
        <f>ROUND( 115.67, 2 )</f>
        <v>115.67</v>
      </c>
      <c r="G29" s="189">
        <f>ROUND(E29*F29,0)</f>
        <v>30</v>
      </c>
      <c r="H29" s="190" t="s">
        <v>382</v>
      </c>
      <c r="I29" s="190" t="s">
        <v>376</v>
      </c>
    </row>
    <row r="30" spans="1:255" s="42" customFormat="1" ht="24" x14ac:dyDescent="0.2">
      <c r="A30" s="185">
        <v>6</v>
      </c>
      <c r="B30" s="186" t="s">
        <v>179</v>
      </c>
      <c r="C30" s="186" t="s">
        <v>181</v>
      </c>
      <c r="D30" s="186" t="s">
        <v>178</v>
      </c>
      <c r="E30" s="187">
        <v>142.58478359999998</v>
      </c>
      <c r="F30" s="188">
        <f>ROUND( 114.93, 2 )</f>
        <v>114.93</v>
      </c>
      <c r="G30" s="189">
        <f>ROUND(E30*F30,0)</f>
        <v>16387</v>
      </c>
      <c r="H30" s="190" t="s">
        <v>380</v>
      </c>
      <c r="I30" s="190" t="s">
        <v>376</v>
      </c>
    </row>
    <row r="31" spans="1:255" x14ac:dyDescent="0.2">
      <c r="A31" s="181"/>
      <c r="B31" s="181"/>
      <c r="C31" s="182" t="s">
        <v>325</v>
      </c>
      <c r="D31" s="181"/>
      <c r="E31" s="181"/>
      <c r="F31" s="181"/>
      <c r="G31" s="183">
        <f>ROUND(SUM(G27:G30),0)</f>
        <v>27682</v>
      </c>
      <c r="H31" s="181"/>
      <c r="I31" s="181"/>
      <c r="J31" s="23"/>
      <c r="K31" s="23"/>
      <c r="L31" s="180">
        <f>G31</f>
        <v>27682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</row>
    <row r="32" spans="1:255" x14ac:dyDescent="0.2">
      <c r="A32" s="32"/>
      <c r="B32" s="100"/>
      <c r="C32" s="100"/>
      <c r="D32" s="100"/>
      <c r="E32" s="100"/>
      <c r="F32" s="100"/>
      <c r="G32" s="177"/>
      <c r="H32" s="100"/>
      <c r="I32" s="177"/>
    </row>
    <row r="34" spans="1:255" x14ac:dyDescent="0.2">
      <c r="C34" s="178" t="s">
        <v>98</v>
      </c>
      <c r="G34" s="179">
        <f>ROUND(SUM(K21:K34) + SUM(L21:L34) + SUM(M21:M34),0)</f>
        <v>29871</v>
      </c>
    </row>
    <row r="35" spans="1:255" x14ac:dyDescent="0.2">
      <c r="C35" s="192" t="s">
        <v>383</v>
      </c>
      <c r="G35" s="179"/>
    </row>
    <row r="36" spans="1:255" x14ac:dyDescent="0.2">
      <c r="C36" s="192" t="s">
        <v>251</v>
      </c>
      <c r="G36" s="179">
        <f>ROUND(SUM(K21:K36),0)</f>
        <v>2189</v>
      </c>
    </row>
    <row r="37" spans="1:255" x14ac:dyDescent="0.2">
      <c r="C37" s="192" t="s">
        <v>303</v>
      </c>
      <c r="G37" s="179">
        <f>ROUND(SUM(L21:L37),0)</f>
        <v>27682</v>
      </c>
    </row>
    <row r="38" spans="1:255" x14ac:dyDescent="0.2">
      <c r="C38" s="192" t="s">
        <v>384</v>
      </c>
      <c r="G38" s="179">
        <f>ROUND(SUM(M21:M38),0)</f>
        <v>0</v>
      </c>
    </row>
    <row r="40" spans="1:255" ht="22.5" x14ac:dyDescent="0.2">
      <c r="A40" s="162" t="s">
        <v>334</v>
      </c>
      <c r="B40" s="162"/>
      <c r="C40" s="174" t="s">
        <v>403</v>
      </c>
      <c r="D40" s="163"/>
      <c r="E40" s="163"/>
      <c r="F40" s="347" t="s">
        <v>7</v>
      </c>
      <c r="G40" s="347"/>
      <c r="BY40" s="164" t="str">
        <f>C40</f>
        <v xml:space="preserve"> Главный инженер сметчик сметно-расчетной службы ООО "ОДСК"</v>
      </c>
      <c r="BZ40" s="164" t="str">
        <f>F40</f>
        <v>Кузнецова У. И.</v>
      </c>
      <c r="IU40" s="23"/>
    </row>
    <row r="41" spans="1:255" s="176" customFormat="1" ht="11.25" x14ac:dyDescent="0.2">
      <c r="A41" s="175"/>
      <c r="B41" s="175"/>
      <c r="C41" s="348" t="s">
        <v>330</v>
      </c>
      <c r="D41" s="348"/>
      <c r="E41" s="348"/>
      <c r="F41" s="348" t="s">
        <v>331</v>
      </c>
      <c r="G41" s="348"/>
    </row>
    <row r="42" spans="1:255" x14ac:dyDescent="0.2">
      <c r="A42" s="18"/>
      <c r="B42" s="18"/>
      <c r="C42" s="18"/>
      <c r="D42" s="11" t="s">
        <v>332</v>
      </c>
      <c r="E42" s="18"/>
      <c r="F42" s="18"/>
      <c r="G42" s="18"/>
    </row>
    <row r="43" spans="1:255" ht="22.5" x14ac:dyDescent="0.2">
      <c r="A43" s="162" t="s">
        <v>335</v>
      </c>
      <c r="B43" s="162"/>
      <c r="C43" s="174" t="s">
        <v>343</v>
      </c>
      <c r="D43" s="163"/>
      <c r="E43" s="163"/>
      <c r="F43" s="347" t="s">
        <v>337</v>
      </c>
      <c r="G43" s="347"/>
      <c r="BY43" s="164" t="str">
        <f>C43</f>
        <v>Руководитель сметно-расчетной службы ООО "ОДСК"</v>
      </c>
      <c r="BZ43" s="164" t="str">
        <f>F43</f>
        <v>Артамонова Ю.А.</v>
      </c>
      <c r="IU43" s="23"/>
    </row>
    <row r="44" spans="1:255" s="176" customFormat="1" ht="11.25" x14ac:dyDescent="0.2">
      <c r="A44" s="175"/>
      <c r="B44" s="175"/>
      <c r="C44" s="348" t="s">
        <v>330</v>
      </c>
      <c r="D44" s="348"/>
      <c r="E44" s="348"/>
      <c r="F44" s="348" t="s">
        <v>331</v>
      </c>
      <c r="G44" s="348"/>
    </row>
    <row r="45" spans="1:255" x14ac:dyDescent="0.2">
      <c r="A45" s="18"/>
      <c r="B45" s="18"/>
      <c r="C45" s="18"/>
      <c r="D45" s="11" t="s">
        <v>332</v>
      </c>
      <c r="E45" s="18"/>
      <c r="F45" s="18"/>
      <c r="G45" s="18"/>
    </row>
    <row r="46" spans="1:255" x14ac:dyDescent="0.2">
      <c r="A46" s="162" t="s">
        <v>221</v>
      </c>
      <c r="B46" s="162"/>
      <c r="C46" s="174" t="s">
        <v>344</v>
      </c>
      <c r="D46" s="163"/>
      <c r="E46" s="163"/>
      <c r="F46" s="347" t="s">
        <v>345</v>
      </c>
      <c r="G46" s="347"/>
      <c r="BY46" s="164" t="str">
        <f>C46</f>
        <v>Руководитель ПТО ООО "ОСУ-2"</v>
      </c>
      <c r="BZ46" s="164" t="str">
        <f>F46</f>
        <v>Когтев В. И.</v>
      </c>
      <c r="IU46" s="23"/>
    </row>
    <row r="47" spans="1:255" s="176" customFormat="1" ht="11.25" x14ac:dyDescent="0.2">
      <c r="A47" s="175"/>
      <c r="B47" s="175"/>
      <c r="C47" s="348" t="s">
        <v>330</v>
      </c>
      <c r="D47" s="348"/>
      <c r="E47" s="348"/>
      <c r="F47" s="348" t="s">
        <v>331</v>
      </c>
      <c r="G47" s="348"/>
    </row>
    <row r="48" spans="1:255" x14ac:dyDescent="0.2">
      <c r="A48" s="18"/>
      <c r="B48" s="18"/>
      <c r="C48" s="18"/>
      <c r="D48" s="11" t="s">
        <v>332</v>
      </c>
      <c r="E48" s="18"/>
      <c r="F48" s="18"/>
      <c r="G48" s="18"/>
    </row>
  </sheetData>
  <sortState ref="A27:IU30">
    <sortCondition ref="B27"/>
    <sortCondition ref="C27"/>
  </sortState>
  <mergeCells count="21">
    <mergeCell ref="F46:G46"/>
    <mergeCell ref="C47:E47"/>
    <mergeCell ref="F47:G47"/>
    <mergeCell ref="F40:G40"/>
    <mergeCell ref="C41:E41"/>
    <mergeCell ref="F41:G41"/>
    <mergeCell ref="F43:G43"/>
    <mergeCell ref="C44:E44"/>
    <mergeCell ref="F44:G44"/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2"/>
  <sheetViews>
    <sheetView workbookViewId="0">
      <selection activeCell="C22" sqref="C22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28" t="s">
        <v>211</v>
      </c>
      <c r="B1" s="328"/>
      <c r="C1" s="328"/>
      <c r="D1" s="328"/>
      <c r="E1" s="328"/>
      <c r="F1" s="328"/>
      <c r="G1" s="328"/>
    </row>
    <row r="3" spans="1:255" x14ac:dyDescent="0.2">
      <c r="A3" s="20" t="s">
        <v>218</v>
      </c>
      <c r="B3" s="19"/>
      <c r="C3" s="329"/>
      <c r="D3" s="330"/>
      <c r="E3" s="330"/>
      <c r="F3" s="330"/>
      <c r="G3" s="330"/>
      <c r="BR3" s="22">
        <f>C3</f>
        <v>0</v>
      </c>
      <c r="IU3" s="23"/>
    </row>
    <row r="4" spans="1:255" x14ac:dyDescent="0.2">
      <c r="A4" s="20" t="s">
        <v>220</v>
      </c>
      <c r="B4" s="19"/>
      <c r="C4" s="331"/>
      <c r="D4" s="332"/>
      <c r="E4" s="332"/>
      <c r="F4" s="332"/>
      <c r="G4" s="332"/>
      <c r="BR4" s="22">
        <f>C4</f>
        <v>0</v>
      </c>
      <c r="IU4" s="23"/>
    </row>
    <row r="5" spans="1:255" x14ac:dyDescent="0.2">
      <c r="A5" s="20" t="s">
        <v>221</v>
      </c>
      <c r="B5" s="19"/>
      <c r="C5" s="331"/>
      <c r="D5" s="332"/>
      <c r="E5" s="332"/>
      <c r="F5" s="332"/>
      <c r="G5" s="332"/>
      <c r="BR5" s="22">
        <f>C5</f>
        <v>0</v>
      </c>
      <c r="IU5" s="23"/>
    </row>
    <row r="6" spans="1:255" x14ac:dyDescent="0.2">
      <c r="A6" s="20" t="s">
        <v>222</v>
      </c>
      <c r="B6" s="19"/>
      <c r="C6" s="333"/>
      <c r="D6" s="334"/>
      <c r="E6" s="334"/>
      <c r="F6" s="334"/>
      <c r="G6" s="334"/>
      <c r="BR6" s="22">
        <f>C6</f>
        <v>0</v>
      </c>
      <c r="IU6" s="23"/>
    </row>
    <row r="7" spans="1:255" x14ac:dyDescent="0.2">
      <c r="A7" s="335"/>
      <c r="B7" s="335"/>
      <c r="C7" s="335"/>
      <c r="D7" s="335"/>
      <c r="E7" s="335"/>
      <c r="F7" s="335"/>
      <c r="G7" s="335"/>
    </row>
    <row r="8" spans="1:255" ht="18.75" x14ac:dyDescent="0.3">
      <c r="A8" s="336" t="s">
        <v>347</v>
      </c>
      <c r="B8" s="336"/>
      <c r="C8" s="336"/>
      <c r="D8" s="336"/>
      <c r="E8" s="336"/>
      <c r="F8" s="336"/>
      <c r="G8" s="336"/>
    </row>
    <row r="9" spans="1:255" x14ac:dyDescent="0.2">
      <c r="A9" s="337" t="s">
        <v>370</v>
      </c>
      <c r="B9" s="337"/>
      <c r="C9" s="337"/>
      <c r="D9" s="337"/>
      <c r="E9" s="337"/>
      <c r="F9" s="337"/>
      <c r="G9" s="337"/>
    </row>
    <row r="10" spans="1:255" x14ac:dyDescent="0.2">
      <c r="A10" s="337"/>
      <c r="B10" s="337"/>
      <c r="C10" s="337"/>
      <c r="D10" s="337"/>
      <c r="E10" s="337"/>
      <c r="F10" s="337"/>
      <c r="G10" s="337"/>
    </row>
    <row r="11" spans="1:255" ht="47.25" x14ac:dyDescent="0.25">
      <c r="A11" s="14" t="s">
        <v>224</v>
      </c>
      <c r="B11" s="339" t="s">
        <v>4</v>
      </c>
      <c r="C11" s="339"/>
      <c r="D11" s="339"/>
      <c r="E11" s="339"/>
      <c r="F11" s="339"/>
      <c r="G11" s="339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3" spans="1:255" x14ac:dyDescent="0.2">
      <c r="A13" s="14" t="s">
        <v>239</v>
      </c>
    </row>
    <row r="14" spans="1:255" x14ac:dyDescent="0.2">
      <c r="A14" s="14" t="s">
        <v>240</v>
      </c>
    </row>
    <row r="15" spans="1:255" x14ac:dyDescent="0.2">
      <c r="A15" s="168" t="s">
        <v>350</v>
      </c>
      <c r="B15" s="168" t="s">
        <v>352</v>
      </c>
      <c r="C15" s="168" t="s">
        <v>355</v>
      </c>
      <c r="D15" s="168" t="s">
        <v>357</v>
      </c>
      <c r="E15" s="168" t="s">
        <v>360</v>
      </c>
      <c r="F15" s="168" t="s">
        <v>362</v>
      </c>
      <c r="G15" s="168" t="s">
        <v>364</v>
      </c>
      <c r="H15" s="168" t="s">
        <v>366</v>
      </c>
      <c r="I15" s="169" t="s">
        <v>327</v>
      </c>
    </row>
    <row r="16" spans="1:255" x14ac:dyDescent="0.2">
      <c r="A16" s="170" t="s">
        <v>351</v>
      </c>
      <c r="B16" s="170" t="s">
        <v>353</v>
      </c>
      <c r="C16" s="170" t="s">
        <v>356</v>
      </c>
      <c r="D16" s="170" t="s">
        <v>358</v>
      </c>
      <c r="E16" s="170" t="s">
        <v>361</v>
      </c>
      <c r="F16" s="170" t="s">
        <v>363</v>
      </c>
      <c r="G16" s="170" t="s">
        <v>365</v>
      </c>
      <c r="H16" s="170" t="s">
        <v>367</v>
      </c>
      <c r="I16" s="171" t="s">
        <v>272</v>
      </c>
    </row>
    <row r="17" spans="1:255" x14ac:dyDescent="0.2">
      <c r="A17" s="170"/>
      <c r="B17" s="170" t="s">
        <v>354</v>
      </c>
      <c r="C17" s="170"/>
      <c r="D17" s="170" t="s">
        <v>359</v>
      </c>
      <c r="E17" s="170"/>
      <c r="F17" s="170"/>
      <c r="G17" s="170" t="s">
        <v>363</v>
      </c>
      <c r="H17" s="170" t="s">
        <v>368</v>
      </c>
      <c r="I17" s="171"/>
    </row>
    <row r="18" spans="1:255" x14ac:dyDescent="0.2">
      <c r="A18" s="172">
        <v>1</v>
      </c>
      <c r="B18" s="172">
        <v>2</v>
      </c>
      <c r="C18" s="172">
        <v>3</v>
      </c>
      <c r="D18" s="172">
        <v>4</v>
      </c>
      <c r="E18" s="172">
        <v>5</v>
      </c>
      <c r="F18" s="172">
        <v>6</v>
      </c>
      <c r="G18" s="172">
        <v>7</v>
      </c>
      <c r="H18" s="172">
        <v>8</v>
      </c>
      <c r="I18" s="173">
        <v>9</v>
      </c>
    </row>
    <row r="20" spans="1:255" x14ac:dyDescent="0.2">
      <c r="C20" t="s">
        <v>369</v>
      </c>
    </row>
    <row r="22" spans="1:255" ht="22.5" x14ac:dyDescent="0.2">
      <c r="A22" s="162" t="s">
        <v>334</v>
      </c>
      <c r="B22" s="162"/>
      <c r="C22" s="174" t="s">
        <v>403</v>
      </c>
      <c r="D22" s="163"/>
      <c r="E22" s="163"/>
      <c r="F22" s="347" t="s">
        <v>7</v>
      </c>
      <c r="G22" s="347"/>
      <c r="BY22" s="164" t="str">
        <f>C22</f>
        <v xml:space="preserve"> Главный инженер сметчик сметно-расчетной службы ООО "ОДСК"</v>
      </c>
      <c r="BZ22" s="164" t="str">
        <f>F22</f>
        <v>Кузнецова У. И.</v>
      </c>
      <c r="IU22" s="23"/>
    </row>
    <row r="23" spans="1:255" s="176" customFormat="1" ht="11.25" x14ac:dyDescent="0.2">
      <c r="A23" s="175"/>
      <c r="B23" s="175"/>
      <c r="C23" s="348" t="s">
        <v>330</v>
      </c>
      <c r="D23" s="348"/>
      <c r="E23" s="348"/>
      <c r="F23" s="348" t="s">
        <v>331</v>
      </c>
      <c r="G23" s="348"/>
    </row>
    <row r="24" spans="1:255" x14ac:dyDescent="0.2">
      <c r="A24" s="18"/>
      <c r="B24" s="18"/>
      <c r="C24" s="18"/>
      <c r="D24" s="11" t="s">
        <v>332</v>
      </c>
      <c r="E24" s="18"/>
      <c r="F24" s="18"/>
      <c r="G24" s="18"/>
    </row>
    <row r="25" spans="1:255" ht="22.5" x14ac:dyDescent="0.2">
      <c r="A25" s="162" t="s">
        <v>335</v>
      </c>
      <c r="B25" s="162"/>
      <c r="C25" s="174" t="s">
        <v>343</v>
      </c>
      <c r="D25" s="163"/>
      <c r="E25" s="163"/>
      <c r="F25" s="347" t="s">
        <v>337</v>
      </c>
      <c r="G25" s="347"/>
      <c r="BY25" s="164" t="str">
        <f>C25</f>
        <v>Руководитель сметно-расчетной службы ООО "ОДСК"</v>
      </c>
      <c r="BZ25" s="164" t="str">
        <f>F25</f>
        <v>Артамонова Ю.А.</v>
      </c>
      <c r="IU25" s="23"/>
    </row>
    <row r="26" spans="1:255" s="176" customFormat="1" ht="11.25" x14ac:dyDescent="0.2">
      <c r="A26" s="175"/>
      <c r="B26" s="175"/>
      <c r="C26" s="348" t="s">
        <v>330</v>
      </c>
      <c r="D26" s="348"/>
      <c r="E26" s="348"/>
      <c r="F26" s="348" t="s">
        <v>331</v>
      </c>
      <c r="G26" s="348"/>
    </row>
    <row r="27" spans="1:255" x14ac:dyDescent="0.2">
      <c r="A27" s="18"/>
      <c r="B27" s="18"/>
      <c r="C27" s="18"/>
      <c r="D27" s="11" t="s">
        <v>332</v>
      </c>
      <c r="E27" s="18"/>
      <c r="F27" s="18"/>
      <c r="G27" s="18"/>
    </row>
    <row r="28" spans="1:255" x14ac:dyDescent="0.2">
      <c r="A28" s="162" t="s">
        <v>221</v>
      </c>
      <c r="B28" s="162"/>
      <c r="C28" s="174" t="s">
        <v>344</v>
      </c>
      <c r="D28" s="163"/>
      <c r="E28" s="163"/>
      <c r="F28" s="347" t="s">
        <v>345</v>
      </c>
      <c r="G28" s="347"/>
      <c r="BY28" s="164" t="str">
        <f>C28</f>
        <v>Руководитель ПТО ООО "ОСУ-2"</v>
      </c>
      <c r="BZ28" s="164" t="str">
        <f>F28</f>
        <v>Когтев В. И.</v>
      </c>
      <c r="IU28" s="23"/>
    </row>
    <row r="29" spans="1:255" s="176" customFormat="1" ht="11.25" x14ac:dyDescent="0.2">
      <c r="A29" s="175"/>
      <c r="B29" s="175"/>
      <c r="C29" s="348" t="s">
        <v>330</v>
      </c>
      <c r="D29" s="348"/>
      <c r="E29" s="348"/>
      <c r="F29" s="348" t="s">
        <v>331</v>
      </c>
      <c r="G29" s="348"/>
    </row>
    <row r="30" spans="1:255" x14ac:dyDescent="0.2">
      <c r="A30" s="18"/>
      <c r="B30" s="18"/>
      <c r="C30" s="18"/>
      <c r="D30" s="11" t="s">
        <v>332</v>
      </c>
      <c r="E30" s="18"/>
      <c r="F30" s="18"/>
      <c r="G30" s="18"/>
    </row>
    <row r="32" spans="1:255" x14ac:dyDescent="0.2">
      <c r="A32" s="31"/>
      <c r="B32" s="31"/>
    </row>
  </sheetData>
  <mergeCells count="19">
    <mergeCell ref="F25:G25"/>
    <mergeCell ref="C26:E26"/>
    <mergeCell ref="F26:G26"/>
    <mergeCell ref="F28:G28"/>
    <mergeCell ref="C29:E29"/>
    <mergeCell ref="F29:G29"/>
    <mergeCell ref="C23:E23"/>
    <mergeCell ref="F23:G2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F22:G2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2"/>
  <sheetViews>
    <sheetView workbookViewId="0">
      <selection activeCell="F27" sqref="F27:G27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28" t="s">
        <v>211</v>
      </c>
      <c r="B1" s="328"/>
      <c r="C1" s="328"/>
      <c r="D1" s="328"/>
      <c r="E1" s="328"/>
      <c r="F1" s="328"/>
      <c r="G1" s="328"/>
    </row>
    <row r="3" spans="1:255" x14ac:dyDescent="0.2">
      <c r="A3" s="20" t="s">
        <v>218</v>
      </c>
      <c r="B3" s="19"/>
      <c r="C3" s="329"/>
      <c r="D3" s="330"/>
      <c r="E3" s="330"/>
      <c r="F3" s="330"/>
      <c r="G3" s="330"/>
      <c r="BR3" s="22">
        <f>C3</f>
        <v>0</v>
      </c>
      <c r="IU3" s="23"/>
    </row>
    <row r="4" spans="1:255" x14ac:dyDescent="0.2">
      <c r="A4" s="20" t="s">
        <v>220</v>
      </c>
      <c r="B4" s="19"/>
      <c r="C4" s="331"/>
      <c r="D4" s="332"/>
      <c r="E4" s="332"/>
      <c r="F4" s="332"/>
      <c r="G4" s="332"/>
      <c r="BR4" s="22">
        <f>C4</f>
        <v>0</v>
      </c>
      <c r="IU4" s="23"/>
    </row>
    <row r="5" spans="1:255" x14ac:dyDescent="0.2">
      <c r="A5" s="20" t="s">
        <v>221</v>
      </c>
      <c r="B5" s="19"/>
      <c r="C5" s="331"/>
      <c r="D5" s="332"/>
      <c r="E5" s="332"/>
      <c r="F5" s="332"/>
      <c r="G5" s="332"/>
      <c r="BR5" s="22">
        <f>C5</f>
        <v>0</v>
      </c>
      <c r="IU5" s="23"/>
    </row>
    <row r="6" spans="1:255" x14ac:dyDescent="0.2">
      <c r="A6" s="20" t="s">
        <v>222</v>
      </c>
      <c r="B6" s="19"/>
      <c r="C6" s="333"/>
      <c r="D6" s="334"/>
      <c r="E6" s="334"/>
      <c r="F6" s="334"/>
      <c r="G6" s="334"/>
      <c r="BR6" s="22">
        <f>C6</f>
        <v>0</v>
      </c>
      <c r="IU6" s="23"/>
    </row>
    <row r="7" spans="1:255" x14ac:dyDescent="0.2">
      <c r="A7" s="335"/>
      <c r="B7" s="335"/>
      <c r="C7" s="335"/>
      <c r="D7" s="335"/>
      <c r="E7" s="335"/>
      <c r="F7" s="335"/>
      <c r="G7" s="335"/>
    </row>
    <row r="8" spans="1:255" ht="18.75" x14ac:dyDescent="0.3">
      <c r="A8" s="336" t="s">
        <v>347</v>
      </c>
      <c r="B8" s="336"/>
      <c r="C8" s="336"/>
      <c r="D8" s="336"/>
      <c r="E8" s="336"/>
      <c r="F8" s="336"/>
      <c r="G8" s="336"/>
    </row>
    <row r="9" spans="1:255" x14ac:dyDescent="0.2">
      <c r="A9" s="337" t="s">
        <v>348</v>
      </c>
      <c r="B9" s="337"/>
      <c r="C9" s="337"/>
      <c r="D9" s="337"/>
      <c r="E9" s="337"/>
      <c r="F9" s="337"/>
      <c r="G9" s="337"/>
    </row>
    <row r="10" spans="1:255" x14ac:dyDescent="0.2">
      <c r="A10" s="337"/>
      <c r="B10" s="337"/>
      <c r="C10" s="337"/>
      <c r="D10" s="337"/>
      <c r="E10" s="337"/>
      <c r="F10" s="337"/>
      <c r="G10" s="337"/>
    </row>
    <row r="11" spans="1:255" ht="47.25" x14ac:dyDescent="0.25">
      <c r="A11" s="14" t="s">
        <v>349</v>
      </c>
      <c r="B11" s="338" t="s">
        <v>4</v>
      </c>
      <c r="C11" s="338"/>
      <c r="D11" s="338"/>
      <c r="E11" s="338"/>
      <c r="F11" s="338"/>
      <c r="G11" s="338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47.25" x14ac:dyDescent="0.25">
      <c r="A12" s="14" t="s">
        <v>224</v>
      </c>
      <c r="B12" s="339" t="s">
        <v>4</v>
      </c>
      <c r="C12" s="339"/>
      <c r="D12" s="339"/>
      <c r="E12" s="339"/>
      <c r="F12" s="339"/>
      <c r="G12" s="339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26" t="s">
        <v>244</v>
      </c>
      <c r="C13" s="327"/>
      <c r="D13" s="327"/>
      <c r="E13" s="327"/>
      <c r="F13" s="327"/>
      <c r="G13" s="327"/>
      <c r="BT13" s="22">
        <f>C13</f>
        <v>0</v>
      </c>
      <c r="IU13" s="23"/>
    </row>
    <row r="15" spans="1:255" x14ac:dyDescent="0.2">
      <c r="A15" s="14" t="s">
        <v>239</v>
      </c>
    </row>
    <row r="16" spans="1:255" x14ac:dyDescent="0.2">
      <c r="A16" s="14" t="s">
        <v>240</v>
      </c>
    </row>
    <row r="17" spans="1:255" x14ac:dyDescent="0.2">
      <c r="A17" s="168" t="s">
        <v>350</v>
      </c>
      <c r="B17" s="168" t="s">
        <v>352</v>
      </c>
      <c r="C17" s="168" t="s">
        <v>355</v>
      </c>
      <c r="D17" s="168" t="s">
        <v>357</v>
      </c>
      <c r="E17" s="168" t="s">
        <v>360</v>
      </c>
      <c r="F17" s="168" t="s">
        <v>362</v>
      </c>
      <c r="G17" s="168" t="s">
        <v>364</v>
      </c>
      <c r="H17" s="168" t="s">
        <v>366</v>
      </c>
      <c r="I17" s="169" t="s">
        <v>327</v>
      </c>
    </row>
    <row r="18" spans="1:255" x14ac:dyDescent="0.2">
      <c r="A18" s="170" t="s">
        <v>351</v>
      </c>
      <c r="B18" s="170" t="s">
        <v>353</v>
      </c>
      <c r="C18" s="170" t="s">
        <v>356</v>
      </c>
      <c r="D18" s="170" t="s">
        <v>358</v>
      </c>
      <c r="E18" s="170" t="s">
        <v>361</v>
      </c>
      <c r="F18" s="170" t="s">
        <v>363</v>
      </c>
      <c r="G18" s="170" t="s">
        <v>365</v>
      </c>
      <c r="H18" s="170" t="s">
        <v>367</v>
      </c>
      <c r="I18" s="171" t="s">
        <v>272</v>
      </c>
    </row>
    <row r="19" spans="1:255" x14ac:dyDescent="0.2">
      <c r="A19" s="170"/>
      <c r="B19" s="170" t="s">
        <v>354</v>
      </c>
      <c r="C19" s="170"/>
      <c r="D19" s="170" t="s">
        <v>359</v>
      </c>
      <c r="E19" s="170"/>
      <c r="F19" s="170"/>
      <c r="G19" s="170" t="s">
        <v>363</v>
      </c>
      <c r="H19" s="170" t="s">
        <v>368</v>
      </c>
      <c r="I19" s="171"/>
    </row>
    <row r="20" spans="1:255" x14ac:dyDescent="0.2">
      <c r="A20" s="172">
        <v>1</v>
      </c>
      <c r="B20" s="172">
        <v>2</v>
      </c>
      <c r="C20" s="172">
        <v>3</v>
      </c>
      <c r="D20" s="172">
        <v>4</v>
      </c>
      <c r="E20" s="172">
        <v>5</v>
      </c>
      <c r="F20" s="172">
        <v>6</v>
      </c>
      <c r="G20" s="172">
        <v>7</v>
      </c>
      <c r="H20" s="172">
        <v>8</v>
      </c>
      <c r="I20" s="173">
        <v>9</v>
      </c>
    </row>
    <row r="22" spans="1:255" x14ac:dyDescent="0.2">
      <c r="C22" t="s">
        <v>369</v>
      </c>
    </row>
    <row r="24" spans="1:255" ht="22.5" x14ac:dyDescent="0.2">
      <c r="A24" s="162" t="s">
        <v>334</v>
      </c>
      <c r="B24" s="162"/>
      <c r="C24" s="174" t="s">
        <v>403</v>
      </c>
      <c r="D24" s="163"/>
      <c r="E24" s="163"/>
      <c r="F24" s="347" t="s">
        <v>7</v>
      </c>
      <c r="G24" s="347"/>
      <c r="BY24" s="164" t="str">
        <f>C24</f>
        <v xml:space="preserve"> Главный инженер сметчик сметно-расчетной службы ООО "ОДСК"</v>
      </c>
      <c r="BZ24" s="164" t="str">
        <f>F24</f>
        <v>Кузнецова У. И.</v>
      </c>
      <c r="IU24" s="23"/>
    </row>
    <row r="25" spans="1:255" s="176" customFormat="1" ht="11.25" x14ac:dyDescent="0.2">
      <c r="A25" s="175"/>
      <c r="B25" s="175"/>
      <c r="C25" s="348" t="s">
        <v>330</v>
      </c>
      <c r="D25" s="348"/>
      <c r="E25" s="348"/>
      <c r="F25" s="348" t="s">
        <v>331</v>
      </c>
      <c r="G25" s="348"/>
    </row>
    <row r="26" spans="1:255" x14ac:dyDescent="0.2">
      <c r="A26" s="18"/>
      <c r="B26" s="18"/>
      <c r="C26" s="18"/>
      <c r="D26" s="11" t="s">
        <v>332</v>
      </c>
      <c r="E26" s="18"/>
      <c r="F26" s="18"/>
      <c r="G26" s="18"/>
    </row>
    <row r="27" spans="1:255" ht="22.5" x14ac:dyDescent="0.2">
      <c r="A27" s="162" t="s">
        <v>335</v>
      </c>
      <c r="B27" s="162"/>
      <c r="C27" s="174" t="s">
        <v>343</v>
      </c>
      <c r="D27" s="163"/>
      <c r="E27" s="163"/>
      <c r="F27" s="347" t="s">
        <v>337</v>
      </c>
      <c r="G27" s="347"/>
      <c r="BY27" s="164" t="str">
        <f>C27</f>
        <v>Руководитель сметно-расчетной службы ООО "ОДСК"</v>
      </c>
      <c r="BZ27" s="164" t="str">
        <f>F27</f>
        <v>Артамонова Ю.А.</v>
      </c>
      <c r="IU27" s="23"/>
    </row>
    <row r="28" spans="1:255" s="176" customFormat="1" ht="11.25" x14ac:dyDescent="0.2">
      <c r="A28" s="175"/>
      <c r="B28" s="175"/>
      <c r="C28" s="348" t="s">
        <v>330</v>
      </c>
      <c r="D28" s="348"/>
      <c r="E28" s="348"/>
      <c r="F28" s="348" t="s">
        <v>331</v>
      </c>
      <c r="G28" s="348"/>
    </row>
    <row r="29" spans="1:255" x14ac:dyDescent="0.2">
      <c r="A29" s="18"/>
      <c r="B29" s="18"/>
      <c r="C29" s="18"/>
      <c r="D29" s="11" t="s">
        <v>332</v>
      </c>
      <c r="E29" s="18"/>
      <c r="F29" s="18"/>
      <c r="G29" s="18"/>
    </row>
    <row r="30" spans="1:255" x14ac:dyDescent="0.2">
      <c r="A30" s="162" t="s">
        <v>221</v>
      </c>
      <c r="B30" s="162"/>
      <c r="C30" s="174" t="s">
        <v>344</v>
      </c>
      <c r="D30" s="163"/>
      <c r="E30" s="163"/>
      <c r="F30" s="347" t="s">
        <v>345</v>
      </c>
      <c r="G30" s="347"/>
      <c r="BY30" s="164" t="str">
        <f>C30</f>
        <v>Руководитель ПТО ООО "ОСУ-2"</v>
      </c>
      <c r="BZ30" s="164" t="str">
        <f>F30</f>
        <v>Когтев В. И.</v>
      </c>
      <c r="IU30" s="23"/>
    </row>
    <row r="31" spans="1:255" s="176" customFormat="1" ht="11.25" x14ac:dyDescent="0.2">
      <c r="A31" s="175"/>
      <c r="B31" s="175"/>
      <c r="C31" s="348" t="s">
        <v>330</v>
      </c>
      <c r="D31" s="348"/>
      <c r="E31" s="348"/>
      <c r="F31" s="348" t="s">
        <v>331</v>
      </c>
      <c r="G31" s="348"/>
    </row>
    <row r="32" spans="1:255" x14ac:dyDescent="0.2">
      <c r="A32" s="18"/>
      <c r="B32" s="18"/>
      <c r="C32" s="18"/>
      <c r="D32" s="11" t="s">
        <v>332</v>
      </c>
      <c r="E32" s="18"/>
      <c r="F32" s="18"/>
      <c r="G32" s="18"/>
    </row>
  </sheetData>
  <mergeCells count="21">
    <mergeCell ref="F30:G30"/>
    <mergeCell ref="C31:E31"/>
    <mergeCell ref="F31:G31"/>
    <mergeCell ref="F24:G24"/>
    <mergeCell ref="C25:E25"/>
    <mergeCell ref="F25:G25"/>
    <mergeCell ref="F27:G27"/>
    <mergeCell ref="C28:E28"/>
    <mergeCell ref="F28:G28"/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63"/>
  <sheetViews>
    <sheetView topLeftCell="A39" zoomScaleNormal="100" workbookViewId="0">
      <selection activeCell="K139" sqref="K139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113.7109375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5" customFormat="1" ht="11.25" x14ac:dyDescent="0.2">
      <c r="A1" s="15" t="s">
        <v>211</v>
      </c>
    </row>
    <row r="2" spans="1:255" hidden="1" outlineLevel="1" x14ac:dyDescent="0.2">
      <c r="H2" s="351" t="s">
        <v>212</v>
      </c>
      <c r="I2" s="351"/>
      <c r="J2" s="351"/>
      <c r="K2" s="351"/>
    </row>
    <row r="3" spans="1:255" hidden="1" outlineLevel="1" x14ac:dyDescent="0.2">
      <c r="H3" s="351" t="s">
        <v>213</v>
      </c>
      <c r="I3" s="351"/>
      <c r="J3" s="351"/>
      <c r="K3" s="351"/>
    </row>
    <row r="4" spans="1:255" hidden="1" outlineLevel="1" x14ac:dyDescent="0.2">
      <c r="H4" s="351" t="s">
        <v>214</v>
      </c>
      <c r="I4" s="351"/>
      <c r="J4" s="351"/>
      <c r="K4" s="351"/>
    </row>
    <row r="5" spans="1:255" s="14" customFormat="1" ht="11.25" hidden="1" outlineLevel="1" x14ac:dyDescent="0.2">
      <c r="J5" s="352" t="s">
        <v>215</v>
      </c>
      <c r="K5" s="353"/>
    </row>
    <row r="6" spans="1:255" s="16" customFormat="1" ht="9.75" hidden="1" outlineLevel="1" x14ac:dyDescent="0.2">
      <c r="I6" s="17" t="s">
        <v>216</v>
      </c>
      <c r="J6" s="354" t="s">
        <v>217</v>
      </c>
      <c r="K6" s="355"/>
    </row>
    <row r="7" spans="1:255" hidden="1" outlineLevel="1" x14ac:dyDescent="0.2">
      <c r="A7" s="21" t="s">
        <v>218</v>
      </c>
      <c r="B7" s="19"/>
      <c r="C7" s="329"/>
      <c r="D7" s="330"/>
      <c r="E7" s="330"/>
      <c r="F7" s="330"/>
      <c r="G7" s="330"/>
      <c r="I7" s="17" t="s">
        <v>219</v>
      </c>
      <c r="J7" s="349"/>
      <c r="K7" s="350"/>
      <c r="BR7" s="22">
        <f>C7</f>
        <v>0</v>
      </c>
      <c r="IU7" s="23"/>
    </row>
    <row r="8" spans="1:255" hidden="1" outlineLevel="1" x14ac:dyDescent="0.2">
      <c r="A8" s="21" t="s">
        <v>220</v>
      </c>
      <c r="B8" s="19"/>
      <c r="C8" s="331"/>
      <c r="D8" s="332"/>
      <c r="E8" s="332"/>
      <c r="F8" s="332"/>
      <c r="G8" s="332"/>
      <c r="I8" s="17" t="s">
        <v>219</v>
      </c>
      <c r="J8" s="349"/>
      <c r="K8" s="350"/>
      <c r="BR8" s="22">
        <f>C8</f>
        <v>0</v>
      </c>
      <c r="IU8" s="23"/>
    </row>
    <row r="9" spans="1:255" hidden="1" outlineLevel="1" x14ac:dyDescent="0.2">
      <c r="A9" s="21" t="s">
        <v>221</v>
      </c>
      <c r="B9" s="19"/>
      <c r="C9" s="331"/>
      <c r="D9" s="332"/>
      <c r="E9" s="332"/>
      <c r="F9" s="332"/>
      <c r="G9" s="332"/>
      <c r="I9" s="17" t="s">
        <v>219</v>
      </c>
      <c r="J9" s="349"/>
      <c r="K9" s="350"/>
      <c r="BR9" s="22">
        <f>C9</f>
        <v>0</v>
      </c>
      <c r="IU9" s="23"/>
    </row>
    <row r="10" spans="1:255" hidden="1" outlineLevel="1" x14ac:dyDescent="0.2">
      <c r="A10" s="21" t="s">
        <v>222</v>
      </c>
      <c r="B10" s="19"/>
      <c r="C10" s="331"/>
      <c r="D10" s="332"/>
      <c r="E10" s="332"/>
      <c r="F10" s="332"/>
      <c r="G10" s="332"/>
      <c r="I10" s="17" t="s">
        <v>219</v>
      </c>
      <c r="J10" s="349"/>
      <c r="K10" s="350"/>
      <c r="BR10" s="22">
        <f>C10</f>
        <v>0</v>
      </c>
      <c r="IU10" s="23"/>
    </row>
    <row r="11" spans="1:255" ht="38.25" hidden="1" outlineLevel="1" x14ac:dyDescent="0.2">
      <c r="A11" s="21" t="s">
        <v>223</v>
      </c>
      <c r="C11" s="356" t="s">
        <v>4</v>
      </c>
      <c r="D11" s="356"/>
      <c r="E11" s="356"/>
      <c r="F11" s="356"/>
      <c r="G11" s="356"/>
      <c r="J11" s="349"/>
      <c r="K11" s="357"/>
      <c r="BS11" s="26" t="str">
        <f>C11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8.25" hidden="1" outlineLevel="1" x14ac:dyDescent="0.2">
      <c r="A12" s="21" t="s">
        <v>224</v>
      </c>
      <c r="C12" s="356" t="s">
        <v>4</v>
      </c>
      <c r="D12" s="356"/>
      <c r="E12" s="356"/>
      <c r="F12" s="356"/>
      <c r="G12" s="356"/>
      <c r="J12" s="349"/>
      <c r="K12" s="357"/>
      <c r="BS12" s="26" t="str">
        <f>C12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hidden="1" outlineLevel="1" x14ac:dyDescent="0.2">
      <c r="A13" s="21" t="s">
        <v>225</v>
      </c>
      <c r="C13" s="358" t="s">
        <v>226</v>
      </c>
      <c r="D13" s="359"/>
      <c r="E13" s="359"/>
      <c r="F13" s="359"/>
      <c r="G13" s="359"/>
      <c r="I13" s="17" t="s">
        <v>227</v>
      </c>
      <c r="J13" s="349"/>
      <c r="K13" s="357"/>
      <c r="BS13" s="27" t="str">
        <f>C13</f>
        <v xml:space="preserve"> 5.1.1.1 Устройство котлована</v>
      </c>
      <c r="IU13" s="23"/>
    </row>
    <row r="14" spans="1:255" hidden="1" outlineLevel="1" x14ac:dyDescent="0.2">
      <c r="G14" s="361" t="s">
        <v>228</v>
      </c>
      <c r="H14" s="361"/>
      <c r="I14" s="28" t="s">
        <v>229</v>
      </c>
      <c r="J14" s="362"/>
      <c r="K14" s="363"/>
      <c r="BW14" s="30">
        <f>J14</f>
        <v>0</v>
      </c>
      <c r="IU14" s="23"/>
    </row>
    <row r="15" spans="1:255" hidden="1" outlineLevel="1" x14ac:dyDescent="0.2">
      <c r="I15" s="29" t="s">
        <v>230</v>
      </c>
      <c r="J15" s="364"/>
      <c r="K15" s="365"/>
    </row>
    <row r="16" spans="1:255" s="16" customFormat="1" ht="11.25" hidden="1" outlineLevel="1" x14ac:dyDescent="0.2">
      <c r="I16" s="17" t="s">
        <v>231</v>
      </c>
      <c r="J16" s="366"/>
      <c r="K16" s="367"/>
    </row>
    <row r="17" spans="1:255" hidden="1" outlineLevel="1" x14ac:dyDescent="0.2"/>
    <row r="18" spans="1:255" hidden="1" outlineLevel="1" x14ac:dyDescent="0.2">
      <c r="G18" s="368" t="s">
        <v>232</v>
      </c>
      <c r="H18" s="368" t="s">
        <v>233</v>
      </c>
      <c r="I18" s="370" t="s">
        <v>234</v>
      </c>
      <c r="J18" s="371"/>
    </row>
    <row r="19" spans="1:255" ht="13.5" hidden="1" outlineLevel="1" thickBot="1" x14ac:dyDescent="0.25">
      <c r="G19" s="369"/>
      <c r="H19" s="369"/>
      <c r="I19" s="33" t="s">
        <v>235</v>
      </c>
      <c r="J19" s="34" t="s">
        <v>236</v>
      </c>
    </row>
    <row r="20" spans="1:255" ht="19.5" hidden="1" outlineLevel="1" thickBot="1" x14ac:dyDescent="0.35">
      <c r="C20" s="336" t="s">
        <v>237</v>
      </c>
      <c r="D20" s="336"/>
      <c r="E20" s="336"/>
      <c r="F20" s="336"/>
      <c r="G20" s="36"/>
      <c r="H20" s="37"/>
      <c r="I20" s="38"/>
      <c r="J20" s="39"/>
      <c r="K20" s="40"/>
    </row>
    <row r="21" spans="1:255" ht="15.75" hidden="1" outlineLevel="1" x14ac:dyDescent="0.25">
      <c r="C21" s="372" t="s">
        <v>238</v>
      </c>
      <c r="D21" s="372"/>
      <c r="E21" s="372"/>
      <c r="F21" s="372"/>
    </row>
    <row r="22" spans="1:255" hidden="1" outlineLevel="1" x14ac:dyDescent="0.2">
      <c r="C22" s="337"/>
      <c r="D22" s="335"/>
      <c r="E22" s="335"/>
      <c r="F22" s="335"/>
    </row>
    <row r="23" spans="1:255" hidden="1" outlineLevel="1" x14ac:dyDescent="0.2">
      <c r="C23" s="373" t="s">
        <v>15</v>
      </c>
      <c r="D23" s="374"/>
      <c r="E23" s="374"/>
      <c r="F23" s="374"/>
      <c r="BU23" s="22">
        <f>A23</f>
        <v>0</v>
      </c>
      <c r="IU23" s="23"/>
    </row>
    <row r="24" spans="1:255" hidden="1" outlineLevel="1" x14ac:dyDescent="0.2">
      <c r="A24" s="16" t="s">
        <v>239</v>
      </c>
    </row>
    <row r="25" spans="1:255" hidden="1" outlineLevel="1" x14ac:dyDescent="0.2">
      <c r="A25" s="16" t="s">
        <v>240</v>
      </c>
    </row>
    <row r="26" spans="1:255" hidden="1" outlineLevel="1" x14ac:dyDescent="0.2">
      <c r="A26" s="16" t="s">
        <v>241</v>
      </c>
      <c r="B26" s="16"/>
      <c r="C26" s="16"/>
      <c r="D26" s="16"/>
      <c r="E26" s="375">
        <f>K140/1000</f>
        <v>297.327</v>
      </c>
      <c r="F26" s="375"/>
      <c r="G26" s="16" t="s">
        <v>242</v>
      </c>
      <c r="H26" s="16"/>
      <c r="I26" s="16"/>
      <c r="J26" s="16"/>
      <c r="K26" s="16"/>
    </row>
    <row r="27" spans="1:255" collapsed="1" x14ac:dyDescent="0.2"/>
    <row r="28" spans="1:255" outlineLevel="1" x14ac:dyDescent="0.2">
      <c r="K28" s="41" t="s">
        <v>243</v>
      </c>
    </row>
    <row r="29" spans="1:255" ht="24" outlineLevel="1" x14ac:dyDescent="0.2">
      <c r="A29" s="21" t="s">
        <v>223</v>
      </c>
      <c r="C29" s="360" t="s">
        <v>4</v>
      </c>
      <c r="D29" s="360"/>
      <c r="E29" s="360"/>
      <c r="F29" s="360"/>
      <c r="G29" s="360"/>
      <c r="H29" s="360"/>
      <c r="I29" s="360"/>
      <c r="J29" s="360"/>
      <c r="K29" s="360"/>
      <c r="BT29" s="43" t="str">
        <f>C29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29" s="23"/>
    </row>
    <row r="30" spans="1:255" ht="24" outlineLevel="1" x14ac:dyDescent="0.2">
      <c r="A30" s="21" t="s">
        <v>224</v>
      </c>
      <c r="C30" s="360" t="s">
        <v>4</v>
      </c>
      <c r="D30" s="360"/>
      <c r="E30" s="360"/>
      <c r="F30" s="360"/>
      <c r="G30" s="360"/>
      <c r="H30" s="360"/>
      <c r="I30" s="360"/>
      <c r="J30" s="360"/>
      <c r="K30" s="360"/>
      <c r="BT30" s="43" t="str">
        <f>C30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30" s="23"/>
    </row>
    <row r="31" spans="1:255" outlineLevel="1" x14ac:dyDescent="0.2">
      <c r="A31" s="21" t="s">
        <v>225</v>
      </c>
      <c r="C31" s="380" t="s">
        <v>244</v>
      </c>
      <c r="D31" s="360"/>
      <c r="E31" s="360"/>
      <c r="F31" s="360"/>
      <c r="G31" s="360"/>
      <c r="H31" s="360"/>
      <c r="I31" s="360"/>
      <c r="J31" s="360"/>
      <c r="K31" s="360"/>
      <c r="BT31" s="44" t="str">
        <f>C31</f>
        <v xml:space="preserve"> 5.1.1.1 Устройство котлована </v>
      </c>
      <c r="IU31" s="23"/>
    </row>
    <row r="32" spans="1:255" outlineLevel="1" x14ac:dyDescent="0.2"/>
    <row r="33" spans="1:255" ht="18.75" outlineLevel="1" x14ac:dyDescent="0.3">
      <c r="A33" s="336" t="s">
        <v>245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6"/>
    </row>
    <row r="34" spans="1:255" outlineLevel="1" x14ac:dyDescent="0.2">
      <c r="A34" s="381" t="s">
        <v>15</v>
      </c>
      <c r="B34" s="381"/>
      <c r="C34" s="381"/>
      <c r="D34" s="381"/>
      <c r="E34" s="381"/>
      <c r="F34" s="381"/>
      <c r="G34" s="381"/>
      <c r="H34" s="381"/>
      <c r="I34" s="381"/>
      <c r="J34" s="381"/>
      <c r="K34" s="381"/>
      <c r="BV34" s="26" t="str">
        <f>A34</f>
        <v>Устройство котлована</v>
      </c>
      <c r="IU34" s="23"/>
    </row>
    <row r="35" spans="1:255" outlineLevel="1" x14ac:dyDescent="0.2">
      <c r="A35" s="21" t="s">
        <v>246</v>
      </c>
      <c r="C35" s="360" t="s">
        <v>402</v>
      </c>
      <c r="D35" s="360"/>
      <c r="E35" s="360"/>
      <c r="F35" s="360"/>
      <c r="G35" s="360"/>
      <c r="H35" s="360"/>
      <c r="I35" s="360"/>
      <c r="J35" s="360"/>
      <c r="K35" s="360"/>
      <c r="BT35" s="43" t="str">
        <f>C35</f>
        <v>14-22-ОДСК-АС1</v>
      </c>
      <c r="IU35" s="23"/>
    </row>
    <row r="36" spans="1:255" outlineLevel="1" x14ac:dyDescent="0.2">
      <c r="I36" s="45" t="s">
        <v>247</v>
      </c>
      <c r="J36" s="45" t="s">
        <v>248</v>
      </c>
    </row>
    <row r="37" spans="1:255" outlineLevel="1" x14ac:dyDescent="0.2">
      <c r="G37" s="35" t="s">
        <v>249</v>
      </c>
      <c r="H37" s="35"/>
      <c r="I37" s="46">
        <f>I140/1000</f>
        <v>34.536999999999999</v>
      </c>
      <c r="J37" s="46">
        <f>K140/1000</f>
        <v>297.327</v>
      </c>
      <c r="K37" s="35" t="s">
        <v>250</v>
      </c>
    </row>
    <row r="38" spans="1:255" outlineLevel="1" x14ac:dyDescent="0.2">
      <c r="G38" s="16" t="s">
        <v>251</v>
      </c>
      <c r="H38" s="16"/>
      <c r="I38" s="47">
        <f>(EW80)/1000</f>
        <v>2.1890000000000001</v>
      </c>
      <c r="J38" s="47">
        <f>(CZ80)/1000</f>
        <v>55.454999999999998</v>
      </c>
      <c r="K38" s="16" t="s">
        <v>250</v>
      </c>
    </row>
    <row r="39" spans="1:255" outlineLevel="1" x14ac:dyDescent="0.2">
      <c r="G39" s="16" t="s">
        <v>252</v>
      </c>
      <c r="H39" s="16"/>
      <c r="I39" s="47">
        <f>ET80</f>
        <v>278.18263499999995</v>
      </c>
      <c r="J39" s="47">
        <f>CW80</f>
        <v>278.18263499999995</v>
      </c>
      <c r="K39" s="16" t="s">
        <v>253</v>
      </c>
    </row>
    <row r="40" spans="1:255" outlineLevel="1" x14ac:dyDescent="0.2">
      <c r="A40" s="16" t="s">
        <v>254</v>
      </c>
    </row>
    <row r="41" spans="1:255" ht="13.5" outlineLevel="1" thickBot="1" x14ac:dyDescent="0.25">
      <c r="A41" s="16" t="s">
        <v>240</v>
      </c>
    </row>
    <row r="42" spans="1:255" x14ac:dyDescent="0.2">
      <c r="A42" s="376" t="s">
        <v>255</v>
      </c>
      <c r="B42" s="378" t="s">
        <v>256</v>
      </c>
      <c r="C42" s="378" t="s">
        <v>257</v>
      </c>
      <c r="D42" s="378" t="s">
        <v>258</v>
      </c>
      <c r="E42" s="378" t="s">
        <v>259</v>
      </c>
      <c r="F42" s="378" t="s">
        <v>260</v>
      </c>
      <c r="G42" s="378" t="s">
        <v>261</v>
      </c>
      <c r="H42" s="378" t="s">
        <v>262</v>
      </c>
      <c r="I42" s="378" t="s">
        <v>263</v>
      </c>
      <c r="J42" s="378" t="s">
        <v>264</v>
      </c>
      <c r="K42" s="385" t="s">
        <v>265</v>
      </c>
    </row>
    <row r="43" spans="1:255" x14ac:dyDescent="0.2">
      <c r="A43" s="377"/>
      <c r="B43" s="379"/>
      <c r="C43" s="379"/>
      <c r="D43" s="379"/>
      <c r="E43" s="379"/>
      <c r="F43" s="379"/>
      <c r="G43" s="379"/>
      <c r="H43" s="379"/>
      <c r="I43" s="379"/>
      <c r="J43" s="379"/>
      <c r="K43" s="386"/>
    </row>
    <row r="44" spans="1:255" x14ac:dyDescent="0.2">
      <c r="A44" s="377"/>
      <c r="B44" s="379"/>
      <c r="C44" s="379"/>
      <c r="D44" s="379"/>
      <c r="E44" s="379"/>
      <c r="F44" s="379"/>
      <c r="G44" s="379"/>
      <c r="H44" s="379"/>
      <c r="I44" s="379"/>
      <c r="J44" s="379"/>
      <c r="K44" s="386"/>
    </row>
    <row r="45" spans="1:255" ht="13.5" thickBot="1" x14ac:dyDescent="0.25">
      <c r="A45" s="377"/>
      <c r="B45" s="379"/>
      <c r="C45" s="379"/>
      <c r="D45" s="379"/>
      <c r="E45" s="379"/>
      <c r="F45" s="379"/>
      <c r="G45" s="379"/>
      <c r="H45" s="379"/>
      <c r="I45" s="379"/>
      <c r="J45" s="379"/>
      <c r="K45" s="386"/>
    </row>
    <row r="46" spans="1:255" ht="13.5" thickBot="1" x14ac:dyDescent="0.25">
      <c r="A46" s="48">
        <v>1</v>
      </c>
      <c r="B46" s="48">
        <v>2</v>
      </c>
      <c r="C46" s="48">
        <v>3</v>
      </c>
      <c r="D46" s="48">
        <v>4</v>
      </c>
      <c r="E46" s="48">
        <v>5</v>
      </c>
      <c r="F46" s="48">
        <v>6</v>
      </c>
      <c r="G46" s="48">
        <v>7</v>
      </c>
      <c r="H46" s="48">
        <v>8</v>
      </c>
      <c r="I46" s="48">
        <v>9</v>
      </c>
      <c r="J46" s="48">
        <v>10</v>
      </c>
      <c r="K46" s="48">
        <v>11</v>
      </c>
    </row>
    <row r="47" spans="1:25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255" x14ac:dyDescent="0.2">
      <c r="A48" s="50"/>
      <c r="B48" s="50"/>
      <c r="C48" s="387" t="s">
        <v>16</v>
      </c>
      <c r="D48" s="387"/>
      <c r="E48" s="387"/>
      <c r="F48" s="387"/>
      <c r="G48" s="387"/>
      <c r="H48" s="387"/>
      <c r="I48" s="387"/>
      <c r="J48" s="387"/>
      <c r="K48" s="387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51" t="str">
        <f>C48</f>
        <v>Удаление насыпного грунта и срезка растительного грунта смотри ЛСР № 4.1.3.1; №4.1.3.2</v>
      </c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</row>
    <row r="49" spans="1:255" ht="13.5" thickBot="1" x14ac:dyDescent="0.25"/>
    <row r="50" spans="1:255" ht="48" x14ac:dyDescent="0.2">
      <c r="A50" s="52">
        <v>1</v>
      </c>
      <c r="B50" s="60" t="s">
        <v>18</v>
      </c>
      <c r="C50" s="53" t="s">
        <v>19</v>
      </c>
      <c r="D50" s="54" t="s">
        <v>20</v>
      </c>
      <c r="E50" s="55">
        <v>3.2006999999999999</v>
      </c>
      <c r="F50" s="56">
        <f>Source!AK26</f>
        <v>3167.12</v>
      </c>
      <c r="G50" s="61" t="s">
        <v>6</v>
      </c>
      <c r="H50" s="56"/>
      <c r="I50" s="57">
        <f>AM56</f>
        <v>11777</v>
      </c>
      <c r="J50" s="58" t="s">
        <v>18</v>
      </c>
      <c r="K50" s="59">
        <f>Source!S26+Source!Q26+Source!X26+Source!Y26+Source!GX26</f>
        <v>92547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</row>
    <row r="51" spans="1:255" x14ac:dyDescent="0.2">
      <c r="A51" s="63"/>
      <c r="B51" s="65" t="str">
        <f>IF(Source!I26=3.2007," Расчет объема","")</f>
        <v xml:space="preserve"> Расчет объема</v>
      </c>
      <c r="C51" s="65" t="str">
        <f>IF(Source!I26=3.2007,"   3200,7/1000 = 3,2007","")</f>
        <v xml:space="preserve">   3200,7/1000 = 3,2007</v>
      </c>
      <c r="D51" s="62"/>
      <c r="E51" s="62"/>
      <c r="F51" s="62"/>
      <c r="G51" s="62"/>
      <c r="H51" s="62"/>
      <c r="I51" s="62"/>
      <c r="J51" s="62"/>
      <c r="K51" s="64"/>
    </row>
    <row r="52" spans="1:255" x14ac:dyDescent="0.2">
      <c r="A52" s="68"/>
      <c r="B52" s="69"/>
      <c r="C52" s="69" t="s">
        <v>269</v>
      </c>
      <c r="D52" s="70"/>
      <c r="E52" s="71"/>
      <c r="F52" s="72">
        <v>3167.12</v>
      </c>
      <c r="G52" s="73"/>
      <c r="H52" s="72">
        <f>Source!AD26</f>
        <v>3167.12</v>
      </c>
      <c r="I52" s="74">
        <f>T52</f>
        <v>10137</v>
      </c>
      <c r="J52" s="75">
        <v>6.41</v>
      </c>
      <c r="K52" s="76">
        <f>U52</f>
        <v>64978</v>
      </c>
      <c r="O52" s="23"/>
      <c r="P52" s="23"/>
      <c r="Q52" s="23"/>
      <c r="R52" s="23"/>
      <c r="S52" s="23"/>
      <c r="T52" s="23">
        <f>ROUND(Source!AD26*Source!AV26*Source!I26,0)</f>
        <v>10137</v>
      </c>
      <c r="U52" s="23">
        <f>Source!Q26</f>
        <v>64978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>
        <f>T52</f>
        <v>10137</v>
      </c>
      <c r="AQ52" s="23"/>
      <c r="AR52" s="23">
        <f>U52</f>
        <v>64978</v>
      </c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>
        <v>1</v>
      </c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>
        <f>T52</f>
        <v>10137</v>
      </c>
      <c r="GK52" s="23"/>
      <c r="GL52" s="23">
        <f>T52</f>
        <v>10137</v>
      </c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>
        <f>T52</f>
        <v>10137</v>
      </c>
      <c r="HC52" s="23"/>
      <c r="HD52" s="23"/>
      <c r="HE52" s="23"/>
      <c r="HF52" s="23">
        <f>T52</f>
        <v>10137</v>
      </c>
      <c r="HG52" s="23"/>
      <c r="HH52" s="23"/>
      <c r="HI52" s="23"/>
      <c r="HJ52" s="23"/>
      <c r="HK52" s="23"/>
      <c r="HL52" s="23">
        <f>T52</f>
        <v>10137</v>
      </c>
      <c r="HM52" s="23"/>
      <c r="HN52" s="23">
        <f>T52</f>
        <v>10137</v>
      </c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</row>
    <row r="53" spans="1:255" x14ac:dyDescent="0.2">
      <c r="A53" s="68"/>
      <c r="B53" s="69"/>
      <c r="C53" s="69" t="s">
        <v>270</v>
      </c>
      <c r="D53" s="70"/>
      <c r="E53" s="71"/>
      <c r="F53" s="72">
        <v>353.32</v>
      </c>
      <c r="G53" s="73"/>
      <c r="H53" s="72">
        <f>Source!AE26</f>
        <v>353.32</v>
      </c>
      <c r="I53" s="74">
        <f>GM53</f>
        <v>1131</v>
      </c>
      <c r="J53" s="75">
        <v>18.329999999999998</v>
      </c>
      <c r="K53" s="76">
        <f>Source!R26</f>
        <v>20729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>
        <f>ROUND(Source!AE26*Source!AV26*Source!I26,0)</f>
        <v>1131</v>
      </c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>
        <f>GM53</f>
        <v>1131</v>
      </c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1:255" x14ac:dyDescent="0.2">
      <c r="A54" s="78"/>
      <c r="B54" s="79"/>
      <c r="C54" s="79" t="s">
        <v>271</v>
      </c>
      <c r="D54" s="80"/>
      <c r="E54" s="81">
        <v>95</v>
      </c>
      <c r="F54" s="82" t="s">
        <v>272</v>
      </c>
      <c r="G54" s="83"/>
      <c r="H54" s="84">
        <f>ROUND((Source!AF26*Source!AV26+Source!AE26*Source!AV26)*(Source!FX26)/100,2)</f>
        <v>335.65</v>
      </c>
      <c r="I54" s="85">
        <f>T54</f>
        <v>1074</v>
      </c>
      <c r="J54" s="87">
        <v>0.9</v>
      </c>
      <c r="K54" s="86">
        <f>U54</f>
        <v>18656</v>
      </c>
      <c r="O54" s="23"/>
      <c r="P54" s="23"/>
      <c r="Q54" s="23"/>
      <c r="R54" s="23"/>
      <c r="S54" s="23"/>
      <c r="T54" s="23">
        <f>ROUND((ROUND(Source!AF26*Source!AV26*Source!I26,0)+ROUND(Source!AE26*Source!AV26*Source!I26,0))*(Source!FX26)/100,0)</f>
        <v>1074</v>
      </c>
      <c r="U54" s="23">
        <f>Source!X26</f>
        <v>18656</v>
      </c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>
        <f>T54</f>
        <v>1074</v>
      </c>
      <c r="AQ54" s="23"/>
      <c r="AR54" s="23">
        <f>U54</f>
        <v>18656</v>
      </c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>
        <v>1</v>
      </c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>
        <f>T54</f>
        <v>1074</v>
      </c>
      <c r="GZ54" s="23"/>
      <c r="HA54" s="23"/>
      <c r="HB54" s="23">
        <f>T54</f>
        <v>1074</v>
      </c>
      <c r="HC54" s="23"/>
      <c r="HD54" s="23"/>
      <c r="HE54" s="23"/>
      <c r="HF54" s="23">
        <f>T54</f>
        <v>1074</v>
      </c>
      <c r="HG54" s="23"/>
      <c r="HH54" s="23"/>
      <c r="HI54" s="23"/>
      <c r="HJ54" s="23"/>
      <c r="HK54" s="23"/>
      <c r="HL54" s="23">
        <f>T54</f>
        <v>1074</v>
      </c>
      <c r="HM54" s="23"/>
      <c r="HN54" s="23">
        <f>T54</f>
        <v>1074</v>
      </c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</row>
    <row r="55" spans="1:255" ht="13.5" thickBot="1" x14ac:dyDescent="0.25">
      <c r="A55" s="90"/>
      <c r="B55" s="91"/>
      <c r="C55" s="91" t="s">
        <v>273</v>
      </c>
      <c r="D55" s="92"/>
      <c r="E55" s="93">
        <v>50</v>
      </c>
      <c r="F55" s="94" t="s">
        <v>272</v>
      </c>
      <c r="G55" s="95"/>
      <c r="H55" s="96">
        <f>ROUND((Source!AF26*Source!AV26+Source!AE26*Source!AV26)*(Source!FY26)/100,2)</f>
        <v>176.66</v>
      </c>
      <c r="I55" s="97">
        <f>T55</f>
        <v>566</v>
      </c>
      <c r="J55" s="98">
        <v>0.43</v>
      </c>
      <c r="K55" s="99">
        <f>U55</f>
        <v>8913</v>
      </c>
      <c r="O55" s="23"/>
      <c r="P55" s="23"/>
      <c r="Q55" s="23"/>
      <c r="R55" s="23"/>
      <c r="S55" s="23"/>
      <c r="T55" s="23">
        <f>ROUND((ROUND(Source!AF26*Source!AV26*Source!I26,0)+ROUND(Source!AE26*Source!AV26*Source!I26,0))*(Source!FY26)/100,0)</f>
        <v>566</v>
      </c>
      <c r="U55" s="23">
        <f>Source!Y26</f>
        <v>8913</v>
      </c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>
        <f>T55</f>
        <v>566</v>
      </c>
      <c r="AQ55" s="23"/>
      <c r="AR55" s="23">
        <f>U55</f>
        <v>8913</v>
      </c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>
        <v>1</v>
      </c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>
        <f>T55</f>
        <v>566</v>
      </c>
      <c r="HA55" s="23"/>
      <c r="HB55" s="23">
        <f>T55</f>
        <v>566</v>
      </c>
      <c r="HC55" s="23"/>
      <c r="HD55" s="23"/>
      <c r="HE55" s="23"/>
      <c r="HF55" s="23">
        <f>T55</f>
        <v>566</v>
      </c>
      <c r="HG55" s="23"/>
      <c r="HH55" s="23"/>
      <c r="HI55" s="23"/>
      <c r="HJ55" s="23"/>
      <c r="HK55" s="23"/>
      <c r="HL55" s="23">
        <f>T55</f>
        <v>566</v>
      </c>
      <c r="HM55" s="23"/>
      <c r="HN55" s="23">
        <f>T55</f>
        <v>566</v>
      </c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</row>
    <row r="56" spans="1:255" x14ac:dyDescent="0.2">
      <c r="A56" s="89"/>
      <c r="B56" s="88"/>
      <c r="C56" s="88" t="s">
        <v>274</v>
      </c>
      <c r="D56" s="88"/>
      <c r="E56" s="88"/>
      <c r="F56" s="88"/>
      <c r="G56" s="88"/>
      <c r="H56" s="382">
        <f>R56</f>
        <v>11777</v>
      </c>
      <c r="I56" s="383"/>
      <c r="J56" s="382">
        <f>S56</f>
        <v>92547</v>
      </c>
      <c r="K56" s="384"/>
      <c r="O56" s="23"/>
      <c r="P56" s="23"/>
      <c r="Q56" s="23"/>
      <c r="R56" s="23">
        <f>SUM(T50:T55)</f>
        <v>11777</v>
      </c>
      <c r="S56" s="23">
        <f>SUM(U50:U55)</f>
        <v>92547</v>
      </c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>
        <f>SUM(AP50:AP55)</f>
        <v>11777</v>
      </c>
      <c r="AN56" s="23">
        <f>SUM(AQ50:AQ55)</f>
        <v>0</v>
      </c>
      <c r="AO56" s="23">
        <f>SUM(AR50:AR55)</f>
        <v>92547</v>
      </c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>
        <f>R56</f>
        <v>11777</v>
      </c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</row>
    <row r="57" spans="1:255" x14ac:dyDescent="0.2">
      <c r="A57" s="67"/>
      <c r="B57" s="66"/>
      <c r="C57" s="66"/>
      <c r="D57" s="66"/>
      <c r="E57" s="66"/>
      <c r="F57" s="66"/>
      <c r="G57" s="66"/>
      <c r="H57" s="388"/>
      <c r="I57" s="389"/>
      <c r="J57" s="388"/>
      <c r="K57" s="390"/>
    </row>
    <row r="58" spans="1:255" ht="48" x14ac:dyDescent="0.2">
      <c r="A58" s="101">
        <v>2</v>
      </c>
      <c r="B58" s="109" t="s">
        <v>26</v>
      </c>
      <c r="C58" s="102" t="s">
        <v>27</v>
      </c>
      <c r="D58" s="103" t="s">
        <v>28</v>
      </c>
      <c r="E58" s="104">
        <v>5505.2039999999997</v>
      </c>
      <c r="F58" s="105">
        <f>Source!AK28</f>
        <v>2.98</v>
      </c>
      <c r="G58" s="110" t="s">
        <v>6</v>
      </c>
      <c r="H58" s="105"/>
      <c r="I58" s="106">
        <f>AM61</f>
        <v>16406</v>
      </c>
      <c r="J58" s="107"/>
      <c r="K58" s="108">
        <f>Source!S28+Source!Q28+Source!X28+Source!Y28+Source!GX28</f>
        <v>116807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</row>
    <row r="59" spans="1:255" x14ac:dyDescent="0.2">
      <c r="A59" s="63"/>
      <c r="B59" s="65" t="str">
        <f>IF(Source!I28=5505.204," Расчет объема","")</f>
        <v xml:space="preserve"> Расчет объема</v>
      </c>
      <c r="C59" s="65" t="str">
        <f>IF(Source!I28=5505.204,"   2240,49*1,75+960,21*1,65 = 5505,204","")</f>
        <v xml:space="preserve">   2240,49*1,75+960,21*1,65 = 5505,204</v>
      </c>
      <c r="D59" s="62"/>
      <c r="E59" s="62"/>
      <c r="F59" s="62"/>
      <c r="G59" s="62"/>
      <c r="H59" s="62"/>
      <c r="I59" s="62"/>
      <c r="J59" s="62"/>
      <c r="K59" s="64"/>
    </row>
    <row r="60" spans="1:255" ht="13.5" thickBot="1" x14ac:dyDescent="0.25">
      <c r="A60" s="111"/>
      <c r="B60" s="112"/>
      <c r="C60" s="112" t="s">
        <v>269</v>
      </c>
      <c r="D60" s="113"/>
      <c r="E60" s="114"/>
      <c r="F60" s="115">
        <v>2.98</v>
      </c>
      <c r="G60" s="116"/>
      <c r="H60" s="115">
        <f>Source!AD28</f>
        <v>2.98</v>
      </c>
      <c r="I60" s="117">
        <f>T60</f>
        <v>16406</v>
      </c>
      <c r="J60" s="118">
        <v>7.12</v>
      </c>
      <c r="K60" s="119">
        <f>U60</f>
        <v>116807</v>
      </c>
      <c r="O60" s="23"/>
      <c r="P60" s="23"/>
      <c r="Q60" s="23"/>
      <c r="R60" s="23"/>
      <c r="S60" s="23"/>
      <c r="T60" s="23">
        <f>ROUND(Source!AD28*Source!AV28*Source!I28,0)</f>
        <v>16406</v>
      </c>
      <c r="U60" s="23">
        <f>Source!Q28</f>
        <v>116807</v>
      </c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>
        <f>T60</f>
        <v>16406</v>
      </c>
      <c r="AQ60" s="23"/>
      <c r="AR60" s="23">
        <f>U60</f>
        <v>116807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>
        <v>1</v>
      </c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>
        <f>T60</f>
        <v>16406</v>
      </c>
      <c r="GK60" s="23"/>
      <c r="GL60" s="23">
        <f>T60</f>
        <v>16406</v>
      </c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>
        <f>T60</f>
        <v>16406</v>
      </c>
      <c r="HC60" s="23"/>
      <c r="HD60" s="23"/>
      <c r="HE60" s="23"/>
      <c r="HF60" s="23">
        <f>T60</f>
        <v>16406</v>
      </c>
      <c r="HG60" s="23"/>
      <c r="HH60" s="23"/>
      <c r="HI60" s="23"/>
      <c r="HJ60" s="23"/>
      <c r="HK60" s="23">
        <f>T60</f>
        <v>16406</v>
      </c>
      <c r="HL60" s="23"/>
      <c r="HM60" s="23">
        <f>T60</f>
        <v>16406</v>
      </c>
      <c r="HN60" s="23"/>
      <c r="HO60" s="23">
        <f>T60</f>
        <v>16406</v>
      </c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</row>
    <row r="61" spans="1:255" x14ac:dyDescent="0.2">
      <c r="A61" s="89"/>
      <c r="B61" s="88"/>
      <c r="C61" s="88" t="s">
        <v>274</v>
      </c>
      <c r="D61" s="88"/>
      <c r="E61" s="88"/>
      <c r="F61" s="88"/>
      <c r="G61" s="88"/>
      <c r="H61" s="382">
        <f>R61</f>
        <v>16406</v>
      </c>
      <c r="I61" s="383"/>
      <c r="J61" s="382">
        <f>S61</f>
        <v>116807</v>
      </c>
      <c r="K61" s="384"/>
      <c r="O61" s="23"/>
      <c r="P61" s="23"/>
      <c r="Q61" s="23"/>
      <c r="R61" s="23">
        <f>SUM(T58:T60)</f>
        <v>16406</v>
      </c>
      <c r="S61" s="23">
        <f>SUM(U58:U60)</f>
        <v>116807</v>
      </c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>
        <f>SUM(AP58:AP60)</f>
        <v>16406</v>
      </c>
      <c r="AN61" s="23">
        <f>SUM(AQ58:AQ60)</f>
        <v>0</v>
      </c>
      <c r="AO61" s="23">
        <f>SUM(AR58:AR60)</f>
        <v>116807</v>
      </c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>
        <f>R61</f>
        <v>16406</v>
      </c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</row>
    <row r="62" spans="1:255" x14ac:dyDescent="0.2">
      <c r="A62" s="67"/>
      <c r="B62" s="66"/>
      <c r="C62" s="66"/>
      <c r="D62" s="66"/>
      <c r="E62" s="66"/>
      <c r="F62" s="66"/>
      <c r="G62" s="66"/>
      <c r="H62" s="388"/>
      <c r="I62" s="389"/>
      <c r="J62" s="388"/>
      <c r="K62" s="390"/>
    </row>
    <row r="63" spans="1:255" ht="22.5" x14ac:dyDescent="0.2">
      <c r="A63" s="101">
        <v>3</v>
      </c>
      <c r="B63" s="109" t="s">
        <v>34</v>
      </c>
      <c r="C63" s="102" t="s">
        <v>35</v>
      </c>
      <c r="D63" s="103" t="s">
        <v>20</v>
      </c>
      <c r="E63" s="104">
        <v>3.2006999999999999</v>
      </c>
      <c r="F63" s="105">
        <f>Source!AK30</f>
        <v>394.84000000000003</v>
      </c>
      <c r="G63" s="110" t="s">
        <v>6</v>
      </c>
      <c r="H63" s="105"/>
      <c r="I63" s="106">
        <f>AM70</f>
        <v>1635</v>
      </c>
      <c r="J63" s="107" t="s">
        <v>34</v>
      </c>
      <c r="K63" s="108">
        <f>Source!S30+Source!Q30+Source!X30+Source!Y30+Source!GX30</f>
        <v>17065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</row>
    <row r="64" spans="1:255" x14ac:dyDescent="0.2">
      <c r="A64" s="120"/>
      <c r="B64" s="121"/>
      <c r="C64" s="121" t="s">
        <v>275</v>
      </c>
      <c r="D64" s="122"/>
      <c r="E64" s="123"/>
      <c r="F64" s="124">
        <v>28.73</v>
      </c>
      <c r="G64" s="125"/>
      <c r="H64" s="124">
        <f>Source!AF30</f>
        <v>28.73</v>
      </c>
      <c r="I64" s="126">
        <f>T64</f>
        <v>92</v>
      </c>
      <c r="J64" s="127">
        <v>25.33</v>
      </c>
      <c r="K64" s="128">
        <f>U64</f>
        <v>2329</v>
      </c>
      <c r="O64" s="23"/>
      <c r="P64" s="23"/>
      <c r="Q64" s="23"/>
      <c r="R64" s="23"/>
      <c r="S64" s="23"/>
      <c r="T64" s="23">
        <f>ROUND(Source!AF30*Source!AV30*Source!I30,0)</f>
        <v>92</v>
      </c>
      <c r="U64" s="23">
        <f>Source!S30</f>
        <v>2329</v>
      </c>
      <c r="V64" s="23">
        <f>Source!S30</f>
        <v>2329</v>
      </c>
      <c r="W64" s="23"/>
      <c r="X64" s="23"/>
      <c r="Y64" s="23">
        <v>1010</v>
      </c>
      <c r="Z64" s="23">
        <v>1010.1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>
        <f>T64</f>
        <v>92</v>
      </c>
      <c r="AQ64" s="23"/>
      <c r="AR64" s="23">
        <f>U64</f>
        <v>2329</v>
      </c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>
        <v>1</v>
      </c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>
        <f>T64</f>
        <v>92</v>
      </c>
      <c r="GK64" s="23">
        <f>T64</f>
        <v>92</v>
      </c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>
        <f>T64</f>
        <v>92</v>
      </c>
      <c r="HC64" s="23"/>
      <c r="HD64" s="23"/>
      <c r="HE64" s="23"/>
      <c r="HF64" s="23">
        <f>T64</f>
        <v>92</v>
      </c>
      <c r="HG64" s="23"/>
      <c r="HH64" s="23"/>
      <c r="HI64" s="23"/>
      <c r="HJ64" s="23"/>
      <c r="HK64" s="23"/>
      <c r="HL64" s="23">
        <f>T64</f>
        <v>92</v>
      </c>
      <c r="HM64" s="23"/>
      <c r="HN64" s="23">
        <f>T64</f>
        <v>92</v>
      </c>
      <c r="HO64" s="23"/>
      <c r="HP64" s="23"/>
      <c r="HQ64" s="23"/>
      <c r="HR64" s="23"/>
      <c r="HS64" s="23"/>
      <c r="HT64" s="23"/>
      <c r="HU64" s="23"/>
      <c r="HV64" s="23"/>
      <c r="HW64" s="23"/>
      <c r="HX64" s="23">
        <f>T64</f>
        <v>92</v>
      </c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</row>
    <row r="65" spans="1:255" x14ac:dyDescent="0.2">
      <c r="A65" s="68"/>
      <c r="B65" s="69"/>
      <c r="C65" s="69" t="s">
        <v>269</v>
      </c>
      <c r="D65" s="70"/>
      <c r="E65" s="71"/>
      <c r="F65" s="72">
        <v>361.75</v>
      </c>
      <c r="G65" s="73"/>
      <c r="H65" s="72">
        <f>Source!AD30</f>
        <v>361.75</v>
      </c>
      <c r="I65" s="74">
        <f>T65</f>
        <v>1158</v>
      </c>
      <c r="J65" s="75">
        <v>6.41</v>
      </c>
      <c r="K65" s="76">
        <f>U65</f>
        <v>7422</v>
      </c>
      <c r="O65" s="23"/>
      <c r="P65" s="23"/>
      <c r="Q65" s="23"/>
      <c r="R65" s="23"/>
      <c r="S65" s="23"/>
      <c r="T65" s="23">
        <f>ROUND(Source!AD30*Source!AV30*Source!I30,0)</f>
        <v>1158</v>
      </c>
      <c r="U65" s="23">
        <f>Source!Q30</f>
        <v>7422</v>
      </c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>
        <f>T65</f>
        <v>1158</v>
      </c>
      <c r="AQ65" s="23"/>
      <c r="AR65" s="23">
        <f>U65</f>
        <v>7422</v>
      </c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>
        <v>1</v>
      </c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>
        <f>T65</f>
        <v>1158</v>
      </c>
      <c r="GK65" s="23"/>
      <c r="GL65" s="23">
        <f>T65</f>
        <v>1158</v>
      </c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>
        <f>T65</f>
        <v>1158</v>
      </c>
      <c r="HC65" s="23"/>
      <c r="HD65" s="23"/>
      <c r="HE65" s="23"/>
      <c r="HF65" s="23">
        <f>T65</f>
        <v>1158</v>
      </c>
      <c r="HG65" s="23"/>
      <c r="HH65" s="23"/>
      <c r="HI65" s="23"/>
      <c r="HJ65" s="23"/>
      <c r="HK65" s="23"/>
      <c r="HL65" s="23">
        <f>T65</f>
        <v>1158</v>
      </c>
      <c r="HM65" s="23"/>
      <c r="HN65" s="23">
        <f>T65</f>
        <v>1158</v>
      </c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</row>
    <row r="66" spans="1:255" x14ac:dyDescent="0.2">
      <c r="A66" s="68"/>
      <c r="B66" s="69"/>
      <c r="C66" s="69" t="s">
        <v>270</v>
      </c>
      <c r="D66" s="70"/>
      <c r="E66" s="71"/>
      <c r="F66" s="72">
        <v>54.03</v>
      </c>
      <c r="G66" s="73"/>
      <c r="H66" s="72">
        <f>Source!AE30</f>
        <v>54.03</v>
      </c>
      <c r="I66" s="74">
        <f>GM66</f>
        <v>173</v>
      </c>
      <c r="J66" s="75">
        <v>18.329999999999998</v>
      </c>
      <c r="K66" s="76">
        <f>Source!R30</f>
        <v>3170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>
        <f>ROUND(Source!AE30*Source!AV30*Source!I30,0)</f>
        <v>173</v>
      </c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>
        <f>GM66</f>
        <v>173</v>
      </c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</row>
    <row r="67" spans="1:255" x14ac:dyDescent="0.2">
      <c r="A67" s="78"/>
      <c r="B67" s="79"/>
      <c r="C67" s="79" t="s">
        <v>271</v>
      </c>
      <c r="D67" s="80"/>
      <c r="E67" s="81">
        <v>95</v>
      </c>
      <c r="F67" s="82" t="s">
        <v>272</v>
      </c>
      <c r="G67" s="83"/>
      <c r="H67" s="84">
        <f>ROUND((Source!AF30*Source!AV30+Source!AE30*Source!AV30)*(Source!FX30)/100,2)</f>
        <v>78.62</v>
      </c>
      <c r="I67" s="85">
        <f>T67</f>
        <v>252</v>
      </c>
      <c r="J67" s="87">
        <v>0.9</v>
      </c>
      <c r="K67" s="86">
        <f>U67</f>
        <v>4949</v>
      </c>
      <c r="O67" s="23"/>
      <c r="P67" s="23"/>
      <c r="Q67" s="23"/>
      <c r="R67" s="23"/>
      <c r="S67" s="23"/>
      <c r="T67" s="23">
        <f>ROUND((ROUND(Source!AF30*Source!AV30*Source!I30,0)+ROUND(Source!AE30*Source!AV30*Source!I30,0))*(Source!FX30)/100,0)</f>
        <v>252</v>
      </c>
      <c r="U67" s="23">
        <f>Source!X30</f>
        <v>4949</v>
      </c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>
        <f>T67</f>
        <v>252</v>
      </c>
      <c r="AQ67" s="23"/>
      <c r="AR67" s="23">
        <f>U67</f>
        <v>4949</v>
      </c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>
        <v>1</v>
      </c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>
        <f>T67</f>
        <v>252</v>
      </c>
      <c r="GZ67" s="23"/>
      <c r="HA67" s="23"/>
      <c r="HB67" s="23">
        <f>T67</f>
        <v>252</v>
      </c>
      <c r="HC67" s="23"/>
      <c r="HD67" s="23"/>
      <c r="HE67" s="23"/>
      <c r="HF67" s="23">
        <f>T67</f>
        <v>252</v>
      </c>
      <c r="HG67" s="23"/>
      <c r="HH67" s="23"/>
      <c r="HI67" s="23"/>
      <c r="HJ67" s="23"/>
      <c r="HK67" s="23"/>
      <c r="HL67" s="23">
        <f>T67</f>
        <v>252</v>
      </c>
      <c r="HM67" s="23"/>
      <c r="HN67" s="23">
        <f>T67</f>
        <v>252</v>
      </c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</row>
    <row r="68" spans="1:255" x14ac:dyDescent="0.2">
      <c r="A68" s="78"/>
      <c r="B68" s="79"/>
      <c r="C68" s="79" t="s">
        <v>273</v>
      </c>
      <c r="D68" s="80"/>
      <c r="E68" s="81">
        <v>50</v>
      </c>
      <c r="F68" s="82" t="s">
        <v>272</v>
      </c>
      <c r="G68" s="83"/>
      <c r="H68" s="84">
        <f>ROUND((Source!AF30*Source!AV30+Source!AE30*Source!AV30)*(Source!FY30)/100,2)</f>
        <v>41.38</v>
      </c>
      <c r="I68" s="85">
        <f>T68</f>
        <v>133</v>
      </c>
      <c r="J68" s="87">
        <v>0.43</v>
      </c>
      <c r="K68" s="86">
        <f>U68</f>
        <v>2365</v>
      </c>
      <c r="O68" s="23"/>
      <c r="P68" s="23"/>
      <c r="Q68" s="23"/>
      <c r="R68" s="23"/>
      <c r="S68" s="23"/>
      <c r="T68" s="23">
        <f>ROUND((ROUND(Source!AF30*Source!AV30*Source!I30,0)+ROUND(Source!AE30*Source!AV30*Source!I30,0))*(Source!FY30)/100,0)</f>
        <v>133</v>
      </c>
      <c r="U68" s="23">
        <f>Source!Y30</f>
        <v>2365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>
        <f>T68</f>
        <v>133</v>
      </c>
      <c r="AQ68" s="23"/>
      <c r="AR68" s="23">
        <f>U68</f>
        <v>2365</v>
      </c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>
        <v>1</v>
      </c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>
        <f>T68</f>
        <v>133</v>
      </c>
      <c r="HA68" s="23"/>
      <c r="HB68" s="23">
        <f>T68</f>
        <v>133</v>
      </c>
      <c r="HC68" s="23"/>
      <c r="HD68" s="23"/>
      <c r="HE68" s="23"/>
      <c r="HF68" s="23">
        <f>T68</f>
        <v>133</v>
      </c>
      <c r="HG68" s="23"/>
      <c r="HH68" s="23"/>
      <c r="HI68" s="23"/>
      <c r="HJ68" s="23"/>
      <c r="HK68" s="23"/>
      <c r="HL68" s="23">
        <f>T68</f>
        <v>133</v>
      </c>
      <c r="HM68" s="23"/>
      <c r="HN68" s="23">
        <f>T68</f>
        <v>133</v>
      </c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</row>
    <row r="69" spans="1:255" ht="13.5" thickBot="1" x14ac:dyDescent="0.25">
      <c r="A69" s="111"/>
      <c r="B69" s="112"/>
      <c r="C69" s="112" t="s">
        <v>276</v>
      </c>
      <c r="D69" s="113" t="s">
        <v>277</v>
      </c>
      <c r="E69" s="114">
        <v>3.65</v>
      </c>
      <c r="F69" s="115"/>
      <c r="G69" s="116"/>
      <c r="H69" s="115">
        <f>ROUND(Source!AH30,2)</f>
        <v>3.65</v>
      </c>
      <c r="I69" s="129">
        <f>Source!U30</f>
        <v>11.682554999999999</v>
      </c>
      <c r="J69" s="118"/>
      <c r="K69" s="119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</row>
    <row r="70" spans="1:255" x14ac:dyDescent="0.2">
      <c r="A70" s="89"/>
      <c r="B70" s="88"/>
      <c r="C70" s="88" t="s">
        <v>274</v>
      </c>
      <c r="D70" s="88"/>
      <c r="E70" s="88"/>
      <c r="F70" s="88"/>
      <c r="G70" s="88"/>
      <c r="H70" s="382">
        <f>R70</f>
        <v>1635</v>
      </c>
      <c r="I70" s="383"/>
      <c r="J70" s="382">
        <f>S70</f>
        <v>17065</v>
      </c>
      <c r="K70" s="384"/>
      <c r="O70" s="23"/>
      <c r="P70" s="23"/>
      <c r="Q70" s="23"/>
      <c r="R70" s="23">
        <f>SUM(T63:T69)</f>
        <v>1635</v>
      </c>
      <c r="S70" s="23">
        <f>SUM(U63:U69)</f>
        <v>17065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>
        <f>SUM(AP63:AP69)</f>
        <v>1635</v>
      </c>
      <c r="AN70" s="23">
        <f>SUM(AQ63:AQ69)</f>
        <v>0</v>
      </c>
      <c r="AO70" s="23">
        <f>SUM(AR63:AR69)</f>
        <v>17065</v>
      </c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>
        <f>R70</f>
        <v>1635</v>
      </c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</row>
    <row r="71" spans="1:255" x14ac:dyDescent="0.2">
      <c r="A71" s="67"/>
      <c r="B71" s="66"/>
      <c r="C71" s="66"/>
      <c r="D71" s="66"/>
      <c r="E71" s="66"/>
      <c r="F71" s="66"/>
      <c r="G71" s="66"/>
      <c r="H71" s="388"/>
      <c r="I71" s="389"/>
      <c r="J71" s="388"/>
      <c r="K71" s="390"/>
    </row>
    <row r="72" spans="1:255" ht="36" x14ac:dyDescent="0.2">
      <c r="A72" s="101">
        <v>4</v>
      </c>
      <c r="B72" s="109" t="s">
        <v>38</v>
      </c>
      <c r="C72" s="102" t="s">
        <v>278</v>
      </c>
      <c r="D72" s="103" t="s">
        <v>40</v>
      </c>
      <c r="E72" s="104">
        <v>1.4420999999999999</v>
      </c>
      <c r="F72" s="105">
        <f>Source!AK32</f>
        <v>1211.98</v>
      </c>
      <c r="G72" s="110" t="s">
        <v>6</v>
      </c>
      <c r="H72" s="105"/>
      <c r="I72" s="106">
        <f>AM78</f>
        <v>4719</v>
      </c>
      <c r="J72" s="107" t="s">
        <v>38</v>
      </c>
      <c r="K72" s="108">
        <f>Source!S32+Source!Q32+Source!X32+Source!Y32+Source!GX32</f>
        <v>113690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</row>
    <row r="73" spans="1:255" x14ac:dyDescent="0.2">
      <c r="A73" s="63"/>
      <c r="B73" s="65" t="str">
        <f>IF(Source!I32=1.4421," Расчет объема","")</f>
        <v xml:space="preserve"> Расчет объема</v>
      </c>
      <c r="C73" s="65" t="str">
        <f>IF(Source!I32=1.4421,"   144,21/100 = 1,4421","")</f>
        <v xml:space="preserve">   144,21/100 = 1,4421</v>
      </c>
      <c r="D73" s="62"/>
      <c r="E73" s="62"/>
      <c r="F73" s="62"/>
      <c r="G73" s="62"/>
      <c r="H73" s="62"/>
      <c r="I73" s="62"/>
      <c r="J73" s="62"/>
      <c r="K73" s="64"/>
    </row>
    <row r="74" spans="1:255" x14ac:dyDescent="0.2">
      <c r="A74" s="68"/>
      <c r="B74" s="69"/>
      <c r="C74" s="69" t="s">
        <v>275</v>
      </c>
      <c r="D74" s="70"/>
      <c r="E74" s="71"/>
      <c r="F74" s="72">
        <v>1211.98</v>
      </c>
      <c r="G74" s="73" t="s">
        <v>279</v>
      </c>
      <c r="H74" s="72">
        <f>Source!AF32</f>
        <v>1454.38</v>
      </c>
      <c r="I74" s="74">
        <f>T74</f>
        <v>2097</v>
      </c>
      <c r="J74" s="75">
        <v>25.33</v>
      </c>
      <c r="K74" s="76">
        <f>U74</f>
        <v>53126</v>
      </c>
      <c r="O74" s="23"/>
      <c r="P74" s="23"/>
      <c r="Q74" s="23"/>
      <c r="R74" s="23"/>
      <c r="S74" s="23"/>
      <c r="T74" s="23">
        <f>ROUND(Source!AF32*Source!AV32*Source!I32,0)</f>
        <v>2097</v>
      </c>
      <c r="U74" s="23">
        <f>Source!S32</f>
        <v>53126</v>
      </c>
      <c r="V74" s="23">
        <f>Source!S32</f>
        <v>53126</v>
      </c>
      <c r="W74" s="23"/>
      <c r="X74" s="23"/>
      <c r="Y74" s="23">
        <v>1010</v>
      </c>
      <c r="Z74" s="23">
        <v>1010.2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>
        <f>T74</f>
        <v>2097</v>
      </c>
      <c r="AQ74" s="23"/>
      <c r="AR74" s="23">
        <f>U74</f>
        <v>53126</v>
      </c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>
        <v>1</v>
      </c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>
        <f>T74</f>
        <v>2097</v>
      </c>
      <c r="GK74" s="23">
        <f>T74</f>
        <v>2097</v>
      </c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>
        <f>T74</f>
        <v>2097</v>
      </c>
      <c r="HC74" s="23"/>
      <c r="HD74" s="23"/>
      <c r="HE74" s="23"/>
      <c r="HF74" s="23">
        <f>T74</f>
        <v>2097</v>
      </c>
      <c r="HG74" s="23"/>
      <c r="HH74" s="23"/>
      <c r="HI74" s="23"/>
      <c r="HJ74" s="23"/>
      <c r="HK74" s="23"/>
      <c r="HL74" s="23">
        <f>T74</f>
        <v>2097</v>
      </c>
      <c r="HM74" s="23"/>
      <c r="HN74" s="23">
        <f>T74</f>
        <v>2097</v>
      </c>
      <c r="HO74" s="23"/>
      <c r="HP74" s="23"/>
      <c r="HQ74" s="23"/>
      <c r="HR74" s="23"/>
      <c r="HS74" s="23"/>
      <c r="HT74" s="23"/>
      <c r="HU74" s="23"/>
      <c r="HV74" s="23"/>
      <c r="HW74" s="23"/>
      <c r="HX74" s="23">
        <f>T74</f>
        <v>2097</v>
      </c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</row>
    <row r="75" spans="1:255" x14ac:dyDescent="0.2">
      <c r="A75" s="78"/>
      <c r="B75" s="79"/>
      <c r="C75" s="79" t="s">
        <v>271</v>
      </c>
      <c r="D75" s="80"/>
      <c r="E75" s="81">
        <v>80</v>
      </c>
      <c r="F75" s="82" t="s">
        <v>272</v>
      </c>
      <c r="G75" s="83"/>
      <c r="H75" s="84">
        <f>ROUND((Source!AF32*Source!AV32+Source!AE32*Source!AV32)*(Source!FX32)/100,2)</f>
        <v>1163.5</v>
      </c>
      <c r="I75" s="85">
        <f>T75</f>
        <v>1678</v>
      </c>
      <c r="J75" s="87">
        <v>0.76</v>
      </c>
      <c r="K75" s="86">
        <f>U75</f>
        <v>40376</v>
      </c>
      <c r="O75" s="23"/>
      <c r="P75" s="23"/>
      <c r="Q75" s="23"/>
      <c r="R75" s="23"/>
      <c r="S75" s="23"/>
      <c r="T75" s="23">
        <f>ROUND((ROUND(Source!AF32*Source!AV32*Source!I32,0)+ROUND(Source!AE32*Source!AV32*Source!I32,0))*(Source!FX32)/100,0)</f>
        <v>1678</v>
      </c>
      <c r="U75" s="23">
        <f>Source!X32</f>
        <v>40376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>
        <f>T75</f>
        <v>1678</v>
      </c>
      <c r="AQ75" s="23"/>
      <c r="AR75" s="23">
        <f>U75</f>
        <v>40376</v>
      </c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>
        <v>1</v>
      </c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>
        <f>T75</f>
        <v>1678</v>
      </c>
      <c r="GZ75" s="23"/>
      <c r="HA75" s="23"/>
      <c r="HB75" s="23">
        <f>T75</f>
        <v>1678</v>
      </c>
      <c r="HC75" s="23"/>
      <c r="HD75" s="23"/>
      <c r="HE75" s="23"/>
      <c r="HF75" s="23">
        <f>T75</f>
        <v>1678</v>
      </c>
      <c r="HG75" s="23"/>
      <c r="HH75" s="23"/>
      <c r="HI75" s="23"/>
      <c r="HJ75" s="23"/>
      <c r="HK75" s="23"/>
      <c r="HL75" s="23">
        <f>T75</f>
        <v>1678</v>
      </c>
      <c r="HM75" s="23"/>
      <c r="HN75" s="23">
        <f>T75</f>
        <v>1678</v>
      </c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</row>
    <row r="76" spans="1:255" x14ac:dyDescent="0.2">
      <c r="A76" s="78"/>
      <c r="B76" s="79"/>
      <c r="C76" s="79" t="s">
        <v>273</v>
      </c>
      <c r="D76" s="80"/>
      <c r="E76" s="81">
        <v>45</v>
      </c>
      <c r="F76" s="82" t="s">
        <v>272</v>
      </c>
      <c r="G76" s="83"/>
      <c r="H76" s="84">
        <f>ROUND((Source!AF32*Source!AV32+Source!AE32*Source!AV32)*(Source!FY32)/100,2)</f>
        <v>654.47</v>
      </c>
      <c r="I76" s="85">
        <f>T76</f>
        <v>944</v>
      </c>
      <c r="J76" s="87">
        <v>0.38</v>
      </c>
      <c r="K76" s="86">
        <f>U76</f>
        <v>20188</v>
      </c>
      <c r="O76" s="23"/>
      <c r="P76" s="23"/>
      <c r="Q76" s="23"/>
      <c r="R76" s="23"/>
      <c r="S76" s="23"/>
      <c r="T76" s="23">
        <f>ROUND((ROUND(Source!AF32*Source!AV32*Source!I32,0)+ROUND(Source!AE32*Source!AV32*Source!I32,0))*(Source!FY32)/100,0)</f>
        <v>944</v>
      </c>
      <c r="U76" s="23">
        <f>Source!Y32</f>
        <v>20188</v>
      </c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>
        <f>T76</f>
        <v>944</v>
      </c>
      <c r="AQ76" s="23"/>
      <c r="AR76" s="23">
        <f>U76</f>
        <v>20188</v>
      </c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>
        <v>1</v>
      </c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>
        <f>T76</f>
        <v>944</v>
      </c>
      <c r="HA76" s="23"/>
      <c r="HB76" s="23">
        <f>T76</f>
        <v>944</v>
      </c>
      <c r="HC76" s="23"/>
      <c r="HD76" s="23"/>
      <c r="HE76" s="23"/>
      <c r="HF76" s="23">
        <f>T76</f>
        <v>944</v>
      </c>
      <c r="HG76" s="23"/>
      <c r="HH76" s="23"/>
      <c r="HI76" s="23"/>
      <c r="HJ76" s="23"/>
      <c r="HK76" s="23"/>
      <c r="HL76" s="23">
        <f>T76</f>
        <v>944</v>
      </c>
      <c r="HM76" s="23"/>
      <c r="HN76" s="23">
        <f>T76</f>
        <v>944</v>
      </c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</row>
    <row r="77" spans="1:255" ht="13.5" thickBot="1" x14ac:dyDescent="0.25">
      <c r="A77" s="111"/>
      <c r="B77" s="112"/>
      <c r="C77" s="112" t="s">
        <v>276</v>
      </c>
      <c r="D77" s="113" t="s">
        <v>277</v>
      </c>
      <c r="E77" s="114">
        <v>154</v>
      </c>
      <c r="F77" s="115"/>
      <c r="G77" s="116" t="s">
        <v>279</v>
      </c>
      <c r="H77" s="115">
        <f>ROUND(Source!AH32,2)</f>
        <v>184.8</v>
      </c>
      <c r="I77" s="129">
        <f>Source!U32</f>
        <v>266.50007999999997</v>
      </c>
      <c r="J77" s="118"/>
      <c r="K77" s="119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</row>
    <row r="78" spans="1:255" x14ac:dyDescent="0.2">
      <c r="A78" s="89"/>
      <c r="B78" s="88"/>
      <c r="C78" s="88" t="s">
        <v>274</v>
      </c>
      <c r="D78" s="88"/>
      <c r="E78" s="88"/>
      <c r="F78" s="88"/>
      <c r="G78" s="88"/>
      <c r="H78" s="382">
        <f>R78</f>
        <v>4719</v>
      </c>
      <c r="I78" s="383"/>
      <c r="J78" s="382">
        <f>S78</f>
        <v>113690</v>
      </c>
      <c r="K78" s="384"/>
      <c r="O78" s="23"/>
      <c r="P78" s="23"/>
      <c r="Q78" s="23"/>
      <c r="R78" s="23">
        <f>SUM(T72:T77)</f>
        <v>4719</v>
      </c>
      <c r="S78" s="23">
        <f>SUM(U72:U77)</f>
        <v>113690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>
        <f>SUM(AP72:AP77)</f>
        <v>4719</v>
      </c>
      <c r="AN78" s="23">
        <f>SUM(AQ72:AQ77)</f>
        <v>0</v>
      </c>
      <c r="AO78" s="23">
        <f>SUM(AR72:AR77)</f>
        <v>113690</v>
      </c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>
        <f>R78</f>
        <v>4719</v>
      </c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</row>
    <row r="79" spans="1:255" ht="13.5" thickBot="1" x14ac:dyDescent="0.25">
      <c r="A79" s="67"/>
      <c r="B79" s="66"/>
      <c r="C79" s="66"/>
      <c r="D79" s="66"/>
      <c r="E79" s="66"/>
      <c r="F79" s="66"/>
      <c r="G79" s="66"/>
      <c r="H79" s="388"/>
      <c r="I79" s="389"/>
      <c r="J79" s="388"/>
      <c r="K79" s="390"/>
    </row>
    <row r="80" spans="1:255" x14ac:dyDescent="0.2">
      <c r="A80" s="130"/>
      <c r="B80" s="130"/>
      <c r="C80" s="131" t="s">
        <v>280</v>
      </c>
      <c r="D80" s="131"/>
      <c r="E80" s="131"/>
      <c r="F80" s="131"/>
      <c r="G80" s="131"/>
      <c r="H80" s="131"/>
      <c r="I80" s="132">
        <f>FM80</f>
        <v>34537</v>
      </c>
      <c r="J80" s="131"/>
      <c r="K80" s="132">
        <f>DP80</f>
        <v>340109</v>
      </c>
      <c r="P80" s="23">
        <f>SUM(R47:R79)</f>
        <v>34537</v>
      </c>
      <c r="Q80" s="23">
        <f>SUM(S47:S79)</f>
        <v>340109</v>
      </c>
      <c r="R80" s="23"/>
      <c r="S80" s="23"/>
      <c r="T80" s="23"/>
      <c r="U80" s="23"/>
      <c r="V80" s="23"/>
      <c r="W80" s="23"/>
      <c r="AY80">
        <f t="shared" ref="AY80:BD80" si="0">SUM(AS47:AS79)</f>
        <v>0</v>
      </c>
      <c r="AZ80">
        <f t="shared" si="0"/>
        <v>0</v>
      </c>
      <c r="BA80">
        <f t="shared" si="0"/>
        <v>0</v>
      </c>
      <c r="BB80">
        <f t="shared" si="0"/>
        <v>0</v>
      </c>
      <c r="BC80">
        <f t="shared" si="0"/>
        <v>0</v>
      </c>
      <c r="BD80">
        <f t="shared" si="0"/>
        <v>0</v>
      </c>
      <c r="BE80">
        <f>SUMIF(CV47:CV79,1,AV47:AV79)</f>
        <v>0</v>
      </c>
      <c r="BF80">
        <f>SUMIF(CV47:CV79,2,AV47:AV79)</f>
        <v>0</v>
      </c>
      <c r="BG80">
        <f>SUMIF(CV47:CV79,5,AV47:AV79)</f>
        <v>0</v>
      </c>
      <c r="BH80">
        <f>SUMIF(CV47:CV79,4,AV47:AV79)</f>
        <v>0</v>
      </c>
      <c r="BI80">
        <f>SUMIF(CV47:CV79,1,AW47:AW79)</f>
        <v>0</v>
      </c>
      <c r="BJ80">
        <f>SUMIF(CV47:CV79,2,AW47:AW79)</f>
        <v>0</v>
      </c>
      <c r="BK80">
        <f>SUMIF(CV47:CV79,5,AW47:AW79)</f>
        <v>0</v>
      </c>
      <c r="BL80">
        <f>SUMIF(CV47:CV79,4,AW47:AW79)</f>
        <v>0</v>
      </c>
      <c r="BM80">
        <f>SUMIF(CV47:CV79,1,AX47:AX79)</f>
        <v>0</v>
      </c>
      <c r="BN80">
        <f>SUMIF(CV47:CV79,2,AX47:AX79)</f>
        <v>0</v>
      </c>
      <c r="BO80">
        <f>SUMIF(CV47:CV79,5,AX47:AX79)</f>
        <v>0</v>
      </c>
      <c r="BP80">
        <f>SUMIF(CV47:CV79,4,AX47:AX79)</f>
        <v>0</v>
      </c>
      <c r="CF80">
        <f>SUMIF(Y47:Y79,1001,V47:V79)</f>
        <v>0</v>
      </c>
      <c r="CG80">
        <f>SUMIF(Y47:Y79,1002,V47:V79)</f>
        <v>0</v>
      </c>
      <c r="CH80">
        <f>SUMIF(Y47:Y79,1003,V47:V79)</f>
        <v>0</v>
      </c>
      <c r="CI80">
        <f>SUMIF(Y47:Y79,1004,V47:V79)</f>
        <v>0</v>
      </c>
      <c r="CJ80">
        <f>SUMIF(Y47:Y79,1005,V47:V79)</f>
        <v>0</v>
      </c>
      <c r="CK80">
        <f>SUMIF(Y47:Y79,1006,V47:V79)</f>
        <v>0</v>
      </c>
      <c r="CL80">
        <f>SUMIF(Y47:Y79,1007,V47:V79)</f>
        <v>0</v>
      </c>
      <c r="CM80">
        <f>SUMIF(Y47:Y79,1008,V47:V79)</f>
        <v>0</v>
      </c>
      <c r="CN80">
        <f>SUMIF(Y47:Y79,1009,V47:V79)</f>
        <v>0</v>
      </c>
      <c r="CO80">
        <f>SUMIF(Y47:Y79,1010,V47:V79)</f>
        <v>55455</v>
      </c>
      <c r="CP80">
        <f>SUMIF(Y47:Y79,1011,V47:V79)</f>
        <v>0</v>
      </c>
      <c r="CQ80">
        <f>SUMIF(Y47:Y79,1012,V47:V79)</f>
        <v>0</v>
      </c>
      <c r="CR80">
        <f>SUMIF(Y47:Y79,1013,V47:V79)</f>
        <v>0</v>
      </c>
      <c r="CS80">
        <f>SUMIF(Y47:Y79,1014,V47:V79)</f>
        <v>0</v>
      </c>
      <c r="CT80">
        <f>SUMIF(Y47:Y79,1015,V47:V79)</f>
        <v>0</v>
      </c>
      <c r="CU80">
        <f>SUMIF(Y47:Y79,1,V47:V79)</f>
        <v>0</v>
      </c>
      <c r="CW80">
        <f>Source!DM34</f>
        <v>278.18263499999995</v>
      </c>
      <c r="CX80">
        <f>Source!DN34</f>
        <v>95.796950999999993</v>
      </c>
      <c r="CY80">
        <f>Source!DG34</f>
        <v>244662</v>
      </c>
      <c r="CZ80">
        <f>Source!DK34</f>
        <v>55455</v>
      </c>
      <c r="DA80">
        <f>Source!DI34</f>
        <v>189207</v>
      </c>
      <c r="DB80">
        <f>Source!DJ34</f>
        <v>23899</v>
      </c>
      <c r="DC80">
        <f>Source!DH34</f>
        <v>0</v>
      </c>
      <c r="DD80">
        <f>Source!EG34</f>
        <v>0</v>
      </c>
      <c r="DE80">
        <f>Source!EN34</f>
        <v>0</v>
      </c>
      <c r="DF80">
        <f>Source!EO34</f>
        <v>0</v>
      </c>
      <c r="DG80">
        <f>Source!EP34</f>
        <v>0</v>
      </c>
      <c r="DH80">
        <f>Source!EQ34</f>
        <v>0</v>
      </c>
      <c r="DI80">
        <f>Source!EH34</f>
        <v>0</v>
      </c>
      <c r="DJ80">
        <f>Source!EI34</f>
        <v>0</v>
      </c>
      <c r="DK80">
        <f>Source!ER34</f>
        <v>0</v>
      </c>
      <c r="DL80">
        <f>Source!DL34</f>
        <v>0</v>
      </c>
      <c r="DM80">
        <f>Source!DO34</f>
        <v>0</v>
      </c>
      <c r="DN80">
        <f>Source!DP34</f>
        <v>63981</v>
      </c>
      <c r="DO80">
        <f>Source!DQ34</f>
        <v>31466</v>
      </c>
      <c r="DP80">
        <f>Source!EJ34</f>
        <v>340109</v>
      </c>
      <c r="DQ80">
        <f>Source!EK34</f>
        <v>340109</v>
      </c>
      <c r="DR80">
        <f>Source!EL34</f>
        <v>0</v>
      </c>
      <c r="DS80">
        <f>Source!EH34</f>
        <v>0</v>
      </c>
      <c r="DT80">
        <f>Source!EM34</f>
        <v>0</v>
      </c>
      <c r="DU80">
        <f>Source!EK34+Source!EL34</f>
        <v>340109</v>
      </c>
      <c r="DW80">
        <f>Source!ES34</f>
        <v>0</v>
      </c>
      <c r="DX80">
        <f>Source!ET34</f>
        <v>0</v>
      </c>
      <c r="DY80">
        <f>Source!EU34</f>
        <v>0</v>
      </c>
      <c r="DZ80">
        <f>Source!EV34</f>
        <v>116807</v>
      </c>
      <c r="EC80">
        <f>SUMIF(Y47:Y79,1001,GK47:GK79)</f>
        <v>0</v>
      </c>
      <c r="ED80">
        <f>SUMIF(Y47:Y79,1002,GK47:GK79)</f>
        <v>0</v>
      </c>
      <c r="EE80">
        <f>SUMIF(Y47:Y79,1003,GK47:GK79)</f>
        <v>0</v>
      </c>
      <c r="EF80">
        <f>SUMIF(Y47:Y79,1004,GK47:GK79)</f>
        <v>0</v>
      </c>
      <c r="EG80">
        <f>SUMIF(Y47:Y79,1005,GK47:GK79)</f>
        <v>0</v>
      </c>
      <c r="EH80">
        <f>SUMIF(Y47:Y79,1006,GK47:GK79)</f>
        <v>0</v>
      </c>
      <c r="EI80">
        <f>SUMIF(Y47:Y79,1007,GK47:GK79)</f>
        <v>0</v>
      </c>
      <c r="EJ80">
        <f>SUMIF(Y47:Y79,1008,GK47:GK79)</f>
        <v>0</v>
      </c>
      <c r="EK80">
        <f>SUMIF(Y47:Y79,1009,GK47:GK79)</f>
        <v>0</v>
      </c>
      <c r="EL80">
        <f>SUMIF(Y47:Y79,1010,GK47:GK79)</f>
        <v>2189</v>
      </c>
      <c r="EM80">
        <f>SUMIF(Y47:Y79,1011,GK47:GK79)</f>
        <v>0</v>
      </c>
      <c r="EN80">
        <f>SUMIF(Y47:Y79,1012,GK47:GK79)</f>
        <v>0</v>
      </c>
      <c r="EO80">
        <f>SUMIF(Y47:Y79,1013,GK47:GK79)</f>
        <v>0</v>
      </c>
      <c r="EP80">
        <f>SUMIF(Y47:Y79,1014,GK47:GK79)</f>
        <v>0</v>
      </c>
      <c r="EQ80">
        <f>SUMIF(Y47:Y79,1015,GK47:GK79)</f>
        <v>0</v>
      </c>
      <c r="ER80">
        <f>SUMIF(Y47:Y79,1,GK47:GK79)</f>
        <v>0</v>
      </c>
      <c r="ET80">
        <f>Source!DM34</f>
        <v>278.18263499999995</v>
      </c>
      <c r="EU80">
        <f>Source!DN34</f>
        <v>95.796950999999993</v>
      </c>
      <c r="EV80">
        <f t="shared" ref="EV80:FQ80" si="1">SUM(GJ47:GJ79)</f>
        <v>29890</v>
      </c>
      <c r="EW80">
        <f t="shared" si="1"/>
        <v>2189</v>
      </c>
      <c r="EX80">
        <f t="shared" si="1"/>
        <v>27701</v>
      </c>
      <c r="EY80">
        <f t="shared" si="1"/>
        <v>1304</v>
      </c>
      <c r="EZ80">
        <f t="shared" si="1"/>
        <v>0</v>
      </c>
      <c r="FA80">
        <f t="shared" si="1"/>
        <v>0</v>
      </c>
      <c r="FB80">
        <f t="shared" si="1"/>
        <v>0</v>
      </c>
      <c r="FC80">
        <f t="shared" si="1"/>
        <v>0</v>
      </c>
      <c r="FD80">
        <f t="shared" si="1"/>
        <v>0</v>
      </c>
      <c r="FE80">
        <f t="shared" si="1"/>
        <v>0</v>
      </c>
      <c r="FF80">
        <f t="shared" si="1"/>
        <v>0</v>
      </c>
      <c r="FG80">
        <f t="shared" si="1"/>
        <v>0</v>
      </c>
      <c r="FH80">
        <f t="shared" si="1"/>
        <v>0</v>
      </c>
      <c r="FI80">
        <f t="shared" si="1"/>
        <v>0</v>
      </c>
      <c r="FJ80">
        <f t="shared" si="1"/>
        <v>0</v>
      </c>
      <c r="FK80">
        <f t="shared" si="1"/>
        <v>3004</v>
      </c>
      <c r="FL80">
        <f t="shared" si="1"/>
        <v>1643</v>
      </c>
      <c r="FM80">
        <f t="shared" si="1"/>
        <v>34537</v>
      </c>
      <c r="FN80">
        <f t="shared" si="1"/>
        <v>34537</v>
      </c>
      <c r="FO80">
        <f t="shared" si="1"/>
        <v>0</v>
      </c>
      <c r="FP80">
        <f t="shared" si="1"/>
        <v>0</v>
      </c>
      <c r="FQ80">
        <f t="shared" si="1"/>
        <v>0</v>
      </c>
      <c r="FR80">
        <f>FN80+FO80</f>
        <v>34537</v>
      </c>
      <c r="FS80">
        <f>SUM(HG47:HG79)</f>
        <v>0</v>
      </c>
      <c r="FT80">
        <f>SUM(HH47:HH79)</f>
        <v>0</v>
      </c>
      <c r="FU80">
        <f>SUM(HI47:HI79)</f>
        <v>0</v>
      </c>
      <c r="FV80">
        <f>SUM(HJ47:HJ79)</f>
        <v>0</v>
      </c>
      <c r="FW80">
        <f>SUM(HK47:HK79)</f>
        <v>16406</v>
      </c>
      <c r="FX80">
        <f>SUMIF(CV47:CV79,1,GK47:GK79)</f>
        <v>2189</v>
      </c>
      <c r="FY80">
        <f>SUMIF(CV47:CV79,2,GK47:GK79)</f>
        <v>0</v>
      </c>
      <c r="FZ80">
        <f>SUMIF(CV47:CV79,5,GK47:GK79)</f>
        <v>0</v>
      </c>
      <c r="GA80">
        <f>SUMIF(CV47:CV79,4,GK47:GK79)</f>
        <v>0</v>
      </c>
      <c r="GB80">
        <f>SUMIF(CV47:CV79,1,GL47:GL79)</f>
        <v>27701</v>
      </c>
      <c r="GC80">
        <f>SUMIF(CV47:CV79,2,GL47:GL79)</f>
        <v>0</v>
      </c>
      <c r="GD80">
        <f>SUMIF(CV47:CV79,4,GL47:GL79)</f>
        <v>0</v>
      </c>
      <c r="GE80">
        <f>SUMIF(CV47:CV79,1,GQ47:GQ79)</f>
        <v>0</v>
      </c>
      <c r="GF80">
        <f>SUMIF(CV47:CV79,2,GQ47:GQ79)</f>
        <v>0</v>
      </c>
      <c r="GG80">
        <f>SUMIF(CV47:CV79,4,GQ47:GQ79)</f>
        <v>0</v>
      </c>
      <c r="IB80">
        <f>SUM(HO47:HO79)</f>
        <v>16406</v>
      </c>
      <c r="IC80">
        <f>SUM(HQ47:HQ79)</f>
        <v>0</v>
      </c>
      <c r="ID80">
        <f>SUM(HS47:HS79)</f>
        <v>0</v>
      </c>
      <c r="IE80">
        <f>SUM(HU47:HU79)</f>
        <v>0</v>
      </c>
      <c r="IF80">
        <f>SUM(HY47:HY79)</f>
        <v>0</v>
      </c>
      <c r="IG80">
        <f>SUM(HZ47:HZ79)</f>
        <v>0</v>
      </c>
      <c r="IH80">
        <f>SUM(HL47:HL79)</f>
        <v>18131</v>
      </c>
      <c r="II80">
        <f>SUM(HN47:HN79)</f>
        <v>18131</v>
      </c>
      <c r="IJ80">
        <f>SUM(HP47:HP79)</f>
        <v>0</v>
      </c>
      <c r="IK80">
        <f>SUM(HR47:HR79)</f>
        <v>0</v>
      </c>
      <c r="IL80">
        <f>SUM(HT47:HT79)</f>
        <v>0</v>
      </c>
      <c r="IM80">
        <f>SUM(HW47:HW79)</f>
        <v>0</v>
      </c>
      <c r="IN80">
        <f>SUMIF(CV47:CV79,1,GY47:GY79)</f>
        <v>3004</v>
      </c>
      <c r="IO80">
        <f>SUMIF(CV47:CV79,2,GY47:GY79)</f>
        <v>0</v>
      </c>
      <c r="IP80">
        <f>SUMIF(CV47:CV79,5,GY47:GY79)</f>
        <v>0</v>
      </c>
      <c r="IQ80">
        <f>SUMIF(CV47:CV79,4,GY47:GY79)</f>
        <v>0</v>
      </c>
      <c r="IR80">
        <f>SUMIF(CV47:CV79,1,GZ47:GZ79)</f>
        <v>1643</v>
      </c>
      <c r="IS80">
        <f>SUMIF(CV47:CV79,2,GZ47:GZ79)</f>
        <v>0</v>
      </c>
      <c r="IT80">
        <f>SUMIF(CV47:CV79,5,GZ47:GZ79)</f>
        <v>0</v>
      </c>
      <c r="IU80">
        <f>SUMIF(CV47:CV79,4,GZ47:GZ79)</f>
        <v>0</v>
      </c>
    </row>
    <row r="82" spans="3:11" x14ac:dyDescent="0.2">
      <c r="C82" s="133" t="s">
        <v>283</v>
      </c>
      <c r="D82" s="133"/>
      <c r="E82" s="133"/>
      <c r="F82" s="133"/>
      <c r="G82" s="133"/>
      <c r="H82" s="133"/>
      <c r="I82" s="133"/>
      <c r="J82" s="133"/>
      <c r="K82" s="133"/>
    </row>
    <row r="83" spans="3:11" x14ac:dyDescent="0.2">
      <c r="C83" s="13" t="s">
        <v>284</v>
      </c>
      <c r="D83" s="13"/>
      <c r="E83" s="13"/>
      <c r="F83" s="13"/>
      <c r="G83" s="13"/>
      <c r="H83" s="13"/>
      <c r="I83" s="134">
        <f>ET80</f>
        <v>278.18263499999995</v>
      </c>
      <c r="J83" s="13"/>
      <c r="K83" s="134">
        <f>CW80</f>
        <v>278.18263499999995</v>
      </c>
    </row>
    <row r="84" spans="3:11" x14ac:dyDescent="0.2">
      <c r="C84" s="13" t="s">
        <v>89</v>
      </c>
      <c r="D84" s="13"/>
      <c r="E84" s="13"/>
      <c r="F84" s="13"/>
      <c r="G84" s="13"/>
      <c r="H84" s="13"/>
      <c r="I84" s="134">
        <f>EU80</f>
        <v>95.796950999999993</v>
      </c>
      <c r="J84" s="13"/>
      <c r="K84" s="134">
        <f>CX80</f>
        <v>95.796950999999993</v>
      </c>
    </row>
    <row r="86" spans="3:11" x14ac:dyDescent="0.2">
      <c r="C86" s="13" t="s">
        <v>47</v>
      </c>
      <c r="D86" s="13"/>
      <c r="E86" s="13"/>
      <c r="F86" s="13"/>
      <c r="G86" s="13"/>
      <c r="H86" s="13"/>
      <c r="I86" s="135">
        <f>EV80</f>
        <v>29890</v>
      </c>
      <c r="J86" s="13"/>
      <c r="K86" s="135">
        <f>CY80</f>
        <v>244662</v>
      </c>
    </row>
    <row r="87" spans="3:11" x14ac:dyDescent="0.2">
      <c r="C87" s="136" t="s">
        <v>283</v>
      </c>
      <c r="D87" s="133"/>
      <c r="E87" s="133"/>
      <c r="F87" s="133"/>
      <c r="G87" s="133"/>
      <c r="H87" s="133"/>
      <c r="I87" s="133"/>
      <c r="J87" s="133"/>
      <c r="K87" s="133"/>
    </row>
    <row r="88" spans="3:11" x14ac:dyDescent="0.2">
      <c r="C88" s="138" t="s">
        <v>285</v>
      </c>
      <c r="D88" s="137"/>
      <c r="E88" s="137"/>
      <c r="F88" s="137"/>
      <c r="G88" s="137"/>
      <c r="H88" s="137"/>
      <c r="I88" s="139">
        <f>EW80</f>
        <v>2189</v>
      </c>
      <c r="J88" s="137"/>
      <c r="K88" s="139">
        <f>CZ80</f>
        <v>55455</v>
      </c>
    </row>
    <row r="89" spans="3:11" x14ac:dyDescent="0.2">
      <c r="C89" s="140" t="s">
        <v>286</v>
      </c>
      <c r="D89" s="133"/>
      <c r="E89" s="133"/>
      <c r="F89" s="133"/>
      <c r="G89" s="133"/>
      <c r="H89" s="133"/>
      <c r="I89" s="133"/>
      <c r="J89" s="133"/>
      <c r="K89" s="133"/>
    </row>
    <row r="90" spans="3:11" hidden="1" x14ac:dyDescent="0.2">
      <c r="C90" s="141" t="s">
        <v>287</v>
      </c>
      <c r="D90" s="137"/>
      <c r="E90" s="137"/>
      <c r="F90" s="137"/>
      <c r="G90" s="137"/>
      <c r="H90" s="137"/>
      <c r="I90" s="139">
        <f>EC80</f>
        <v>0</v>
      </c>
      <c r="J90" s="137"/>
      <c r="K90" s="139">
        <f>CF80</f>
        <v>0</v>
      </c>
    </row>
    <row r="91" spans="3:11" hidden="1" x14ac:dyDescent="0.2">
      <c r="C91" s="141" t="s">
        <v>288</v>
      </c>
      <c r="D91" s="137"/>
      <c r="E91" s="137"/>
      <c r="F91" s="137"/>
      <c r="G91" s="137"/>
      <c r="H91" s="137"/>
      <c r="I91" s="139">
        <f>ED80</f>
        <v>0</v>
      </c>
      <c r="J91" s="137"/>
      <c r="K91" s="139">
        <f>CG80</f>
        <v>0</v>
      </c>
    </row>
    <row r="92" spans="3:11" hidden="1" x14ac:dyDescent="0.2">
      <c r="C92" s="141" t="s">
        <v>289</v>
      </c>
      <c r="D92" s="137"/>
      <c r="E92" s="137"/>
      <c r="F92" s="137"/>
      <c r="G92" s="137"/>
      <c r="H92" s="137"/>
      <c r="I92" s="139">
        <f>EE80</f>
        <v>0</v>
      </c>
      <c r="J92" s="137"/>
      <c r="K92" s="139">
        <f>CH80</f>
        <v>0</v>
      </c>
    </row>
    <row r="93" spans="3:11" hidden="1" x14ac:dyDescent="0.2">
      <c r="C93" s="141" t="s">
        <v>290</v>
      </c>
      <c r="D93" s="137"/>
      <c r="E93" s="137"/>
      <c r="F93" s="137"/>
      <c r="G93" s="137"/>
      <c r="H93" s="137"/>
      <c r="I93" s="139">
        <f>EF80</f>
        <v>0</v>
      </c>
      <c r="J93" s="137"/>
      <c r="K93" s="139">
        <f>CI80</f>
        <v>0</v>
      </c>
    </row>
    <row r="94" spans="3:11" hidden="1" x14ac:dyDescent="0.2">
      <c r="C94" s="141" t="s">
        <v>291</v>
      </c>
      <c r="D94" s="137"/>
      <c r="E94" s="137"/>
      <c r="F94" s="137"/>
      <c r="G94" s="137"/>
      <c r="H94" s="137"/>
      <c r="I94" s="139">
        <f>EG80</f>
        <v>0</v>
      </c>
      <c r="J94" s="137"/>
      <c r="K94" s="139">
        <f>CJ80</f>
        <v>0</v>
      </c>
    </row>
    <row r="95" spans="3:11" hidden="1" x14ac:dyDescent="0.2">
      <c r="C95" s="141" t="s">
        <v>292</v>
      </c>
      <c r="D95" s="137"/>
      <c r="E95" s="137"/>
      <c r="F95" s="137"/>
      <c r="G95" s="137"/>
      <c r="H95" s="137"/>
      <c r="I95" s="139">
        <f>EH80</f>
        <v>0</v>
      </c>
      <c r="J95" s="137"/>
      <c r="K95" s="139">
        <f>CK80</f>
        <v>0</v>
      </c>
    </row>
    <row r="96" spans="3:11" hidden="1" x14ac:dyDescent="0.2">
      <c r="C96" s="141" t="s">
        <v>293</v>
      </c>
      <c r="D96" s="137"/>
      <c r="E96" s="137"/>
      <c r="F96" s="137"/>
      <c r="G96" s="137"/>
      <c r="H96" s="137"/>
      <c r="I96" s="139">
        <f>EI80</f>
        <v>0</v>
      </c>
      <c r="J96" s="137"/>
      <c r="K96" s="139">
        <f>CL80</f>
        <v>0</v>
      </c>
    </row>
    <row r="97" spans="3:11" hidden="1" x14ac:dyDescent="0.2">
      <c r="C97" s="141" t="s">
        <v>294</v>
      </c>
      <c r="D97" s="137"/>
      <c r="E97" s="137"/>
      <c r="F97" s="137"/>
      <c r="G97" s="137"/>
      <c r="H97" s="137"/>
      <c r="I97" s="139">
        <f>EJ80</f>
        <v>0</v>
      </c>
      <c r="J97" s="137"/>
      <c r="K97" s="139">
        <f>CM80</f>
        <v>0</v>
      </c>
    </row>
    <row r="98" spans="3:11" hidden="1" x14ac:dyDescent="0.2">
      <c r="C98" s="141" t="s">
        <v>295</v>
      </c>
      <c r="D98" s="137"/>
      <c r="E98" s="137"/>
      <c r="F98" s="137"/>
      <c r="G98" s="137"/>
      <c r="H98" s="137"/>
      <c r="I98" s="139">
        <f>EK80</f>
        <v>0</v>
      </c>
      <c r="J98" s="137"/>
      <c r="K98" s="139">
        <f>CN80</f>
        <v>0</v>
      </c>
    </row>
    <row r="99" spans="3:11" x14ac:dyDescent="0.2">
      <c r="C99" s="141" t="s">
        <v>296</v>
      </c>
      <c r="D99" s="137"/>
      <c r="E99" s="137"/>
      <c r="F99" s="137"/>
      <c r="G99" s="137"/>
      <c r="H99" s="137"/>
      <c r="I99" s="139">
        <f>EL80</f>
        <v>2189</v>
      </c>
      <c r="J99" s="137"/>
      <c r="K99" s="139">
        <f>CO80</f>
        <v>55455</v>
      </c>
    </row>
    <row r="100" spans="3:11" hidden="1" x14ac:dyDescent="0.2">
      <c r="C100" s="141" t="s">
        <v>297</v>
      </c>
      <c r="D100" s="137"/>
      <c r="E100" s="137"/>
      <c r="F100" s="137"/>
      <c r="G100" s="137"/>
      <c r="H100" s="137"/>
      <c r="I100" s="139">
        <f>EM80</f>
        <v>0</v>
      </c>
      <c r="J100" s="137"/>
      <c r="K100" s="139">
        <f>CP80</f>
        <v>0</v>
      </c>
    </row>
    <row r="101" spans="3:11" hidden="1" x14ac:dyDescent="0.2">
      <c r="C101" s="141" t="s">
        <v>298</v>
      </c>
      <c r="D101" s="137"/>
      <c r="E101" s="137"/>
      <c r="F101" s="137"/>
      <c r="G101" s="137"/>
      <c r="H101" s="137"/>
      <c r="I101" s="139">
        <f>EN80</f>
        <v>0</v>
      </c>
      <c r="J101" s="137"/>
      <c r="K101" s="139">
        <f>CQ80</f>
        <v>0</v>
      </c>
    </row>
    <row r="102" spans="3:11" hidden="1" x14ac:dyDescent="0.2">
      <c r="C102" s="141" t="s">
        <v>299</v>
      </c>
      <c r="D102" s="137"/>
      <c r="E102" s="137"/>
      <c r="F102" s="137"/>
      <c r="G102" s="137"/>
      <c r="H102" s="137"/>
      <c r="I102" s="139">
        <f>EO80</f>
        <v>0</v>
      </c>
      <c r="J102" s="137"/>
      <c r="K102" s="139">
        <f>CR80</f>
        <v>0</v>
      </c>
    </row>
    <row r="103" spans="3:11" hidden="1" x14ac:dyDescent="0.2">
      <c r="C103" s="141" t="s">
        <v>300</v>
      </c>
      <c r="D103" s="137"/>
      <c r="E103" s="137"/>
      <c r="F103" s="137"/>
      <c r="G103" s="137"/>
      <c r="H103" s="137"/>
      <c r="I103" s="139">
        <f>EP80</f>
        <v>0</v>
      </c>
      <c r="J103" s="137"/>
      <c r="K103" s="139">
        <f>CS80</f>
        <v>0</v>
      </c>
    </row>
    <row r="104" spans="3:11" hidden="1" x14ac:dyDescent="0.2">
      <c r="C104" s="141" t="s">
        <v>301</v>
      </c>
      <c r="D104" s="137"/>
      <c r="E104" s="137"/>
      <c r="F104" s="137"/>
      <c r="G104" s="137"/>
      <c r="H104" s="137"/>
      <c r="I104" s="139">
        <f>EQ80</f>
        <v>0</v>
      </c>
      <c r="J104" s="137"/>
      <c r="K104" s="139">
        <f>CT80</f>
        <v>0</v>
      </c>
    </row>
    <row r="105" spans="3:11" hidden="1" x14ac:dyDescent="0.2">
      <c r="C105" s="141" t="s">
        <v>302</v>
      </c>
      <c r="D105" s="137"/>
      <c r="E105" s="137"/>
      <c r="F105" s="137"/>
      <c r="G105" s="137"/>
      <c r="H105" s="137"/>
      <c r="I105" s="139">
        <f>ER80</f>
        <v>0</v>
      </c>
      <c r="J105" s="137"/>
      <c r="K105" s="139">
        <f>CU80</f>
        <v>0</v>
      </c>
    </row>
    <row r="107" spans="3:11" x14ac:dyDescent="0.2">
      <c r="C107" s="143" t="s">
        <v>303</v>
      </c>
      <c r="D107" s="142"/>
      <c r="E107" s="142"/>
      <c r="F107" s="142"/>
      <c r="G107" s="142"/>
      <c r="H107" s="142"/>
      <c r="I107" s="144">
        <f>EX80</f>
        <v>27701</v>
      </c>
      <c r="J107" s="142"/>
      <c r="K107" s="144">
        <f>DA80*0.9</f>
        <v>170286.30000000002</v>
      </c>
    </row>
    <row r="108" spans="3:11" x14ac:dyDescent="0.2">
      <c r="C108" s="140" t="s">
        <v>283</v>
      </c>
      <c r="D108" s="133"/>
      <c r="E108" s="133"/>
      <c r="F108" s="133"/>
      <c r="G108" s="133"/>
      <c r="H108" s="133"/>
      <c r="I108" s="133"/>
      <c r="J108" s="133"/>
      <c r="K108" s="133"/>
    </row>
    <row r="109" spans="3:11" x14ac:dyDescent="0.2">
      <c r="C109" s="145" t="s">
        <v>304</v>
      </c>
      <c r="D109" s="142"/>
      <c r="E109" s="142"/>
      <c r="F109" s="142"/>
      <c r="G109" s="142"/>
      <c r="H109" s="142"/>
      <c r="I109" s="144">
        <f>EY80</f>
        <v>1304</v>
      </c>
      <c r="J109" s="142"/>
      <c r="K109" s="144">
        <f>DB80</f>
        <v>23899</v>
      </c>
    </row>
    <row r="110" spans="3:11" hidden="1" x14ac:dyDescent="0.2">
      <c r="C110" s="146" t="s">
        <v>305</v>
      </c>
      <c r="D110" s="13"/>
      <c r="E110" s="13"/>
      <c r="F110" s="13"/>
      <c r="G110" s="13"/>
      <c r="H110" s="13"/>
      <c r="I110" s="135">
        <f>EZ80</f>
        <v>0</v>
      </c>
      <c r="J110" s="13"/>
      <c r="K110" s="135">
        <f>DC80</f>
        <v>0</v>
      </c>
    </row>
    <row r="111" spans="3:11" hidden="1" x14ac:dyDescent="0.2">
      <c r="C111" s="140" t="s">
        <v>283</v>
      </c>
      <c r="D111" s="133"/>
      <c r="E111" s="133"/>
      <c r="F111" s="133"/>
      <c r="G111" s="133"/>
      <c r="H111" s="133"/>
      <c r="I111" s="133"/>
      <c r="J111" s="133"/>
      <c r="K111" s="133"/>
    </row>
    <row r="112" spans="3:11" hidden="1" x14ac:dyDescent="0.2">
      <c r="C112" s="147" t="s">
        <v>306</v>
      </c>
      <c r="D112" s="13"/>
      <c r="E112" s="13"/>
      <c r="F112" s="13"/>
      <c r="G112" s="13"/>
      <c r="H112" s="13"/>
      <c r="I112" s="135">
        <f>FA80</f>
        <v>0</v>
      </c>
      <c r="J112" s="13"/>
      <c r="K112" s="135">
        <f>DD80</f>
        <v>0</v>
      </c>
    </row>
    <row r="113" spans="1:11" hidden="1" x14ac:dyDescent="0.2">
      <c r="C113" s="147" t="s">
        <v>307</v>
      </c>
      <c r="D113" s="13"/>
      <c r="E113" s="13"/>
      <c r="F113" s="13"/>
      <c r="G113" s="13"/>
      <c r="H113" s="13"/>
      <c r="I113" s="135">
        <f>FB80</f>
        <v>0</v>
      </c>
      <c r="J113" s="13"/>
      <c r="K113" s="135">
        <f>DE80</f>
        <v>0</v>
      </c>
    </row>
    <row r="114" spans="1:11" hidden="1" x14ac:dyDescent="0.2">
      <c r="C114" s="149" t="s">
        <v>308</v>
      </c>
      <c r="D114" s="148"/>
      <c r="E114" s="148"/>
      <c r="F114" s="148"/>
      <c r="G114" s="148"/>
      <c r="H114" s="148"/>
      <c r="I114" s="150">
        <f>FC80</f>
        <v>0</v>
      </c>
      <c r="J114" s="148"/>
      <c r="K114" s="150">
        <f>DF80</f>
        <v>0</v>
      </c>
    </row>
    <row r="115" spans="1:11" hidden="1" x14ac:dyDescent="0.2">
      <c r="C115" s="151" t="s">
        <v>309</v>
      </c>
      <c r="D115" s="148"/>
      <c r="E115" s="148"/>
      <c r="F115" s="148"/>
      <c r="G115" s="148"/>
      <c r="H115" s="148"/>
      <c r="I115" s="150">
        <f>FD80</f>
        <v>0</v>
      </c>
      <c r="J115" s="148"/>
      <c r="K115" s="150">
        <f>DG80</f>
        <v>0</v>
      </c>
    </row>
    <row r="116" spans="1:11" hidden="1" x14ac:dyDescent="0.2">
      <c r="C116" s="151" t="s">
        <v>310</v>
      </c>
      <c r="D116" s="148"/>
      <c r="E116" s="148"/>
      <c r="F116" s="148"/>
      <c r="G116" s="148"/>
      <c r="H116" s="148"/>
      <c r="I116" s="150">
        <f>FE80</f>
        <v>0</v>
      </c>
      <c r="J116" s="148"/>
      <c r="K116" s="150">
        <f>DH80</f>
        <v>0</v>
      </c>
    </row>
    <row r="117" spans="1:11" hidden="1" x14ac:dyDescent="0.2">
      <c r="C117" s="153" t="s">
        <v>311</v>
      </c>
      <c r="D117" s="152"/>
      <c r="E117" s="152"/>
      <c r="F117" s="152"/>
      <c r="G117" s="152"/>
      <c r="H117" s="152"/>
      <c r="I117" s="154">
        <f>FF80</f>
        <v>0</v>
      </c>
      <c r="J117" s="152"/>
      <c r="K117" s="154">
        <f>DI80</f>
        <v>0</v>
      </c>
    </row>
    <row r="118" spans="1:11" hidden="1" x14ac:dyDescent="0.2">
      <c r="C118" s="155" t="s">
        <v>312</v>
      </c>
      <c r="D118" s="152"/>
      <c r="E118" s="152"/>
      <c r="F118" s="152"/>
      <c r="G118" s="152"/>
      <c r="H118" s="152"/>
      <c r="I118" s="154">
        <f>FG80</f>
        <v>0</v>
      </c>
      <c r="J118" s="152"/>
      <c r="K118" s="154">
        <f>DJ80</f>
        <v>0</v>
      </c>
    </row>
    <row r="119" spans="1:11" hidden="1" x14ac:dyDescent="0.2">
      <c r="C119" s="155" t="s">
        <v>313</v>
      </c>
      <c r="D119" s="152"/>
      <c r="E119" s="152"/>
      <c r="F119" s="152"/>
      <c r="G119" s="152"/>
      <c r="H119" s="152"/>
      <c r="I119" s="154">
        <f>FH80</f>
        <v>0</v>
      </c>
      <c r="J119" s="152"/>
      <c r="K119" s="154">
        <f>DK80</f>
        <v>0</v>
      </c>
    </row>
    <row r="120" spans="1:11" hidden="1" x14ac:dyDescent="0.2">
      <c r="C120" s="146" t="s">
        <v>85</v>
      </c>
      <c r="D120" s="13"/>
      <c r="E120" s="13"/>
      <c r="F120" s="13"/>
      <c r="G120" s="13"/>
      <c r="H120" s="13"/>
      <c r="I120" s="135">
        <f>FI80</f>
        <v>0</v>
      </c>
      <c r="J120" s="13"/>
      <c r="K120" s="135">
        <f>DL80</f>
        <v>0</v>
      </c>
    </row>
    <row r="121" spans="1:11" hidden="1" x14ac:dyDescent="0.2">
      <c r="C121" s="146" t="s">
        <v>91</v>
      </c>
      <c r="D121" s="13"/>
      <c r="E121" s="13"/>
      <c r="F121" s="13"/>
      <c r="G121" s="13"/>
      <c r="H121" s="13"/>
      <c r="I121" s="135">
        <f>FJ80</f>
        <v>0</v>
      </c>
      <c r="J121" s="13"/>
      <c r="K121" s="135">
        <f>DM80</f>
        <v>0</v>
      </c>
    </row>
    <row r="122" spans="1:11" x14ac:dyDescent="0.2">
      <c r="C122" s="138" t="s">
        <v>314</v>
      </c>
      <c r="D122" s="137"/>
      <c r="E122" s="137"/>
      <c r="F122" s="137"/>
      <c r="G122" s="137"/>
      <c r="H122" s="137"/>
      <c r="I122" s="139">
        <f>EW80+EY80</f>
        <v>3493</v>
      </c>
      <c r="J122" s="137"/>
      <c r="K122" s="139">
        <f>CZ80+DB80</f>
        <v>79354</v>
      </c>
    </row>
    <row r="124" spans="1:11" x14ac:dyDescent="0.2">
      <c r="A124" s="156"/>
      <c r="B124" s="156"/>
      <c r="C124" s="156" t="s">
        <v>93</v>
      </c>
      <c r="D124" s="156"/>
      <c r="E124" s="156"/>
      <c r="F124" s="156"/>
      <c r="G124" s="156"/>
      <c r="H124" s="156"/>
      <c r="I124" s="157">
        <f>FW80</f>
        <v>16406</v>
      </c>
      <c r="J124" s="156"/>
      <c r="K124" s="157">
        <f>DZ80</f>
        <v>116807</v>
      </c>
    </row>
    <row r="125" spans="1:11" x14ac:dyDescent="0.2">
      <c r="A125" s="156"/>
      <c r="B125" s="156"/>
      <c r="C125" s="156" t="s">
        <v>315</v>
      </c>
      <c r="D125" s="156"/>
      <c r="E125" s="156"/>
      <c r="F125" s="156"/>
      <c r="G125" s="156"/>
      <c r="H125" s="156"/>
      <c r="I125" s="157">
        <f>FK80</f>
        <v>3004</v>
      </c>
      <c r="J125" s="156"/>
      <c r="K125" s="157">
        <f>DN80*0.75</f>
        <v>47985.75</v>
      </c>
    </row>
    <row r="126" spans="1:11" x14ac:dyDescent="0.2">
      <c r="A126" s="156"/>
      <c r="B126" s="156"/>
      <c r="C126" s="156" t="s">
        <v>316</v>
      </c>
      <c r="D126" s="156"/>
      <c r="E126" s="156"/>
      <c r="F126" s="156"/>
      <c r="G126" s="156"/>
      <c r="H126" s="156"/>
      <c r="I126" s="157">
        <f>FL80</f>
        <v>1643</v>
      </c>
      <c r="J126" s="156"/>
      <c r="K126" s="157">
        <f>DO80*0.75</f>
        <v>23599.5</v>
      </c>
    </row>
    <row r="128" spans="1:11" x14ac:dyDescent="0.2">
      <c r="C128" s="25" t="s">
        <v>317</v>
      </c>
      <c r="D128" s="25"/>
      <c r="E128" s="25"/>
      <c r="F128" s="25"/>
      <c r="G128" s="25"/>
      <c r="H128" s="25"/>
      <c r="I128" s="158">
        <f>FM80</f>
        <v>34537</v>
      </c>
      <c r="J128" s="25"/>
      <c r="K128" s="158">
        <f>'1.Лок.смета.и.Акт'!K128</f>
        <v>297326.55000000005</v>
      </c>
    </row>
    <row r="129" spans="3:11" x14ac:dyDescent="0.2">
      <c r="C129" s="136" t="s">
        <v>318</v>
      </c>
      <c r="D129" s="133"/>
      <c r="E129" s="133"/>
      <c r="F129" s="133"/>
      <c r="G129" s="133"/>
      <c r="H129" s="133"/>
      <c r="I129" s="133"/>
      <c r="J129" s="133"/>
      <c r="K129" s="133"/>
    </row>
    <row r="130" spans="3:11" x14ac:dyDescent="0.2">
      <c r="C130" s="146" t="s">
        <v>319</v>
      </c>
      <c r="D130" s="13"/>
      <c r="E130" s="13"/>
      <c r="F130" s="13"/>
      <c r="G130" s="13"/>
      <c r="H130" s="13"/>
      <c r="I130" s="135">
        <f>FN80</f>
        <v>34537</v>
      </c>
      <c r="J130" s="13"/>
      <c r="K130" s="135">
        <f>K128</f>
        <v>297326.55000000005</v>
      </c>
    </row>
    <row r="131" spans="3:11" hidden="1" x14ac:dyDescent="0.2">
      <c r="C131" s="146" t="s">
        <v>320</v>
      </c>
      <c r="D131" s="13"/>
      <c r="E131" s="13"/>
      <c r="F131" s="13"/>
      <c r="G131" s="13"/>
      <c r="H131" s="13"/>
      <c r="I131" s="135">
        <f>FO80</f>
        <v>0</v>
      </c>
      <c r="J131" s="13"/>
      <c r="K131" s="135">
        <f>DR80</f>
        <v>0</v>
      </c>
    </row>
    <row r="132" spans="3:11" hidden="1" x14ac:dyDescent="0.2">
      <c r="C132" s="159" t="s">
        <v>321</v>
      </c>
      <c r="D132" s="152"/>
      <c r="E132" s="152"/>
      <c r="F132" s="152"/>
      <c r="G132" s="152"/>
      <c r="H132" s="152"/>
      <c r="I132" s="154">
        <f>FP80</f>
        <v>0</v>
      </c>
      <c r="J132" s="152"/>
      <c r="K132" s="154">
        <f>DS80</f>
        <v>0</v>
      </c>
    </row>
    <row r="133" spans="3:11" hidden="1" x14ac:dyDescent="0.2">
      <c r="C133" s="146" t="s">
        <v>80</v>
      </c>
      <c r="D133" s="13"/>
      <c r="E133" s="13"/>
      <c r="F133" s="13"/>
      <c r="G133" s="13"/>
      <c r="H133" s="13"/>
      <c r="I133" s="135">
        <f>FQ80</f>
        <v>0</v>
      </c>
      <c r="J133" s="13"/>
      <c r="K133" s="135">
        <f>DT80</f>
        <v>0</v>
      </c>
    </row>
    <row r="135" spans="3:11" x14ac:dyDescent="0.2">
      <c r="C135" s="13" t="s">
        <v>322</v>
      </c>
      <c r="D135" s="13"/>
      <c r="E135" s="13"/>
      <c r="F135" s="13"/>
      <c r="G135" s="13"/>
      <c r="H135" s="13"/>
      <c r="I135" s="135">
        <f>FR80</f>
        <v>34537</v>
      </c>
      <c r="J135" s="13"/>
      <c r="K135" s="135">
        <f>K130</f>
        <v>297326.55000000005</v>
      </c>
    </row>
    <row r="136" spans="3:11" x14ac:dyDescent="0.2">
      <c r="C136" s="13" t="s">
        <v>323</v>
      </c>
      <c r="D136" s="13"/>
      <c r="E136" s="13"/>
      <c r="F136" s="13"/>
      <c r="G136" s="13"/>
      <c r="H136" s="13"/>
      <c r="I136" s="13"/>
      <c r="J136" s="13"/>
      <c r="K136" s="13"/>
    </row>
    <row r="137" spans="3:11" x14ac:dyDescent="0.2">
      <c r="C137" s="13" t="s">
        <v>324</v>
      </c>
      <c r="D137" s="13"/>
      <c r="E137" s="24">
        <v>0</v>
      </c>
      <c r="F137" s="160" t="s">
        <v>272</v>
      </c>
      <c r="G137" s="13"/>
      <c r="H137" s="13"/>
      <c r="I137" s="135">
        <f>ROUND(I135*E137/100,0)</f>
        <v>0</v>
      </c>
      <c r="J137" s="13"/>
      <c r="K137" s="135">
        <f>ROUND(K135*E137/100,0)</f>
        <v>0</v>
      </c>
    </row>
    <row r="138" spans="3:11" x14ac:dyDescent="0.2">
      <c r="C138" s="13" t="s">
        <v>325</v>
      </c>
      <c r="D138" s="13"/>
      <c r="E138" s="13"/>
      <c r="F138" s="13"/>
      <c r="G138" s="13"/>
      <c r="H138" s="13"/>
      <c r="I138" s="135">
        <f>I137+I135</f>
        <v>34537</v>
      </c>
      <c r="J138" s="13"/>
      <c r="K138" s="135">
        <f>'1.Лок.смета.и.Акт'!K138</f>
        <v>297327</v>
      </c>
    </row>
    <row r="140" spans="3:11" x14ac:dyDescent="0.2">
      <c r="C140" s="25" t="s">
        <v>326</v>
      </c>
      <c r="D140" s="25"/>
      <c r="E140" s="25"/>
      <c r="F140" s="25"/>
      <c r="G140" s="25"/>
      <c r="H140" s="25"/>
      <c r="I140" s="158">
        <f>I138+FP80+FQ80</f>
        <v>34537</v>
      </c>
      <c r="J140" s="25"/>
      <c r="K140" s="158">
        <f>K138+DS80+DT80</f>
        <v>297327</v>
      </c>
    </row>
    <row r="141" spans="3:11" x14ac:dyDescent="0.2">
      <c r="C141" s="13" t="s">
        <v>327</v>
      </c>
      <c r="D141" s="13"/>
      <c r="E141" s="24">
        <v>20</v>
      </c>
      <c r="F141" s="160" t="s">
        <v>272</v>
      </c>
      <c r="G141" s="13"/>
      <c r="H141" s="13"/>
      <c r="I141" s="13"/>
      <c r="J141" s="13"/>
      <c r="K141" s="134">
        <f>ROUND(K140*E141/100,2)</f>
        <v>59465.4</v>
      </c>
    </row>
    <row r="142" spans="3:11" x14ac:dyDescent="0.2">
      <c r="C142" s="25" t="s">
        <v>328</v>
      </c>
      <c r="D142" s="25"/>
      <c r="E142" s="25"/>
      <c r="F142" s="25"/>
      <c r="G142" s="25"/>
      <c r="H142" s="25"/>
      <c r="I142" s="25"/>
      <c r="J142" s="25"/>
      <c r="K142" s="161">
        <f>K141+K140</f>
        <v>356792.4</v>
      </c>
    </row>
    <row r="143" spans="3:11" hidden="1" outlineLevel="1" x14ac:dyDescent="0.2"/>
    <row r="144" spans="3:11" hidden="1" outlineLevel="1" x14ac:dyDescent="0.2"/>
    <row r="145" spans="1:255" hidden="1" outlineLevel="1" x14ac:dyDescent="0.2">
      <c r="A145" s="162" t="s">
        <v>329</v>
      </c>
      <c r="B145" s="162"/>
      <c r="C145" s="347"/>
      <c r="D145" s="347"/>
      <c r="E145" s="347"/>
      <c r="F145" s="347"/>
      <c r="G145" s="163"/>
      <c r="H145" s="163"/>
      <c r="I145" s="347"/>
      <c r="J145" s="347"/>
      <c r="BY145" s="164">
        <f>C145</f>
        <v>0</v>
      </c>
      <c r="BZ145" s="164">
        <f>I145</f>
        <v>0</v>
      </c>
      <c r="IU145" s="23"/>
    </row>
    <row r="146" spans="1:255" s="166" customFormat="1" ht="11.25" hidden="1" outlineLevel="1" x14ac:dyDescent="0.2">
      <c r="A146" s="165"/>
      <c r="B146" s="165"/>
      <c r="C146" s="391" t="s">
        <v>330</v>
      </c>
      <c r="D146" s="391"/>
      <c r="E146" s="391"/>
      <c r="F146" s="391"/>
      <c r="G146" s="391"/>
      <c r="H146" s="391"/>
      <c r="I146" s="391" t="s">
        <v>331</v>
      </c>
      <c r="J146" s="391"/>
    </row>
    <row r="147" spans="1:255" hidden="1" outlineLevel="1" x14ac:dyDescent="0.2">
      <c r="A147" s="18"/>
      <c r="B147" s="18"/>
      <c r="C147" s="18"/>
      <c r="D147" s="18"/>
      <c r="E147" s="18"/>
      <c r="F147" s="18"/>
      <c r="G147" s="11" t="s">
        <v>332</v>
      </c>
      <c r="H147" s="18"/>
      <c r="I147" s="18"/>
      <c r="J147" s="18"/>
    </row>
    <row r="148" spans="1:255" hidden="1" outlineLevel="1" x14ac:dyDescent="0.2">
      <c r="A148" s="162" t="s">
        <v>333</v>
      </c>
      <c r="B148" s="162"/>
      <c r="C148" s="347"/>
      <c r="D148" s="347"/>
      <c r="E148" s="347"/>
      <c r="F148" s="347"/>
      <c r="G148" s="163"/>
      <c r="H148" s="163"/>
      <c r="I148" s="347"/>
      <c r="J148" s="347"/>
      <c r="BY148" s="164">
        <f>C148</f>
        <v>0</v>
      </c>
      <c r="BZ148" s="164">
        <f>I148</f>
        <v>0</v>
      </c>
      <c r="IU148" s="23"/>
    </row>
    <row r="149" spans="1:255" s="166" customFormat="1" ht="11.25" hidden="1" outlineLevel="1" x14ac:dyDescent="0.2">
      <c r="A149" s="165"/>
      <c r="B149" s="165"/>
      <c r="C149" s="391" t="s">
        <v>330</v>
      </c>
      <c r="D149" s="391"/>
      <c r="E149" s="391"/>
      <c r="F149" s="391"/>
      <c r="G149" s="391"/>
      <c r="H149" s="391"/>
      <c r="I149" s="391" t="s">
        <v>331</v>
      </c>
      <c r="J149" s="391"/>
    </row>
    <row r="150" spans="1:255" hidden="1" outlineLevel="1" x14ac:dyDescent="0.2">
      <c r="A150" s="18"/>
      <c r="B150" s="18"/>
      <c r="C150" s="18"/>
      <c r="D150" s="18"/>
      <c r="E150" s="18"/>
      <c r="F150" s="18"/>
      <c r="G150" s="11" t="s">
        <v>332</v>
      </c>
      <c r="H150" s="18"/>
      <c r="I150" s="18"/>
      <c r="J150" s="18"/>
    </row>
    <row r="151" spans="1:255" collapsed="1" x14ac:dyDescent="0.2"/>
    <row r="152" spans="1:255" outlineLevel="1" x14ac:dyDescent="0.2"/>
    <row r="153" spans="1:255" outlineLevel="1" x14ac:dyDescent="0.2"/>
    <row r="154" spans="1:255" hidden="1" outlineLevel="1" x14ac:dyDescent="0.2">
      <c r="A154" s="162" t="s">
        <v>334</v>
      </c>
      <c r="B154" s="162"/>
      <c r="C154" s="347" t="s">
        <v>403</v>
      </c>
      <c r="D154" s="347"/>
      <c r="E154" s="347"/>
      <c r="F154" s="347"/>
      <c r="G154" s="163"/>
      <c r="H154" s="163"/>
      <c r="I154" s="347" t="s">
        <v>7</v>
      </c>
      <c r="J154" s="347"/>
      <c r="BY154" s="164" t="str">
        <f>C154</f>
        <v xml:space="preserve"> Главный инженер сметчик сметно-расчетной службы ООО "ОДСК"</v>
      </c>
      <c r="BZ154" s="164" t="str">
        <f>I154</f>
        <v>Кузнецова У. И.</v>
      </c>
      <c r="IU154" s="23"/>
    </row>
    <row r="155" spans="1:255" s="166" customFormat="1" ht="11.25" hidden="1" outlineLevel="1" x14ac:dyDescent="0.2">
      <c r="A155" s="165"/>
      <c r="B155" s="165"/>
      <c r="C155" s="391" t="s">
        <v>330</v>
      </c>
      <c r="D155" s="391"/>
      <c r="E155" s="391"/>
      <c r="F155" s="391"/>
      <c r="G155" s="391"/>
      <c r="H155" s="391"/>
      <c r="I155" s="391" t="s">
        <v>331</v>
      </c>
      <c r="J155" s="391"/>
    </row>
    <row r="156" spans="1:255" hidden="1" outlineLevel="1" x14ac:dyDescent="0.2">
      <c r="A156" s="18"/>
      <c r="B156" s="18"/>
      <c r="C156" s="18"/>
      <c r="D156" s="18"/>
      <c r="E156" s="18"/>
      <c r="F156" s="18"/>
      <c r="G156" s="11" t="s">
        <v>332</v>
      </c>
      <c r="H156" s="18"/>
      <c r="I156" s="18"/>
      <c r="J156" s="18"/>
    </row>
    <row r="157" spans="1:255" hidden="1" outlineLevel="1" x14ac:dyDescent="0.2">
      <c r="A157" s="162" t="s">
        <v>335</v>
      </c>
      <c r="B157" s="162"/>
      <c r="C157" s="347" t="s">
        <v>343</v>
      </c>
      <c r="D157" s="347"/>
      <c r="E157" s="347"/>
      <c r="F157" s="347"/>
      <c r="G157" s="163"/>
      <c r="H157" s="163"/>
      <c r="I157" s="347" t="s">
        <v>337</v>
      </c>
      <c r="J157" s="347"/>
      <c r="BY157" s="164" t="str">
        <f>C157</f>
        <v>Руководитель сметно-расчетной службы ООО "ОДСК"</v>
      </c>
      <c r="BZ157" s="164" t="str">
        <f>I157</f>
        <v>Артамонова Ю.А.</v>
      </c>
      <c r="IU157" s="23"/>
    </row>
    <row r="158" spans="1:255" s="166" customFormat="1" ht="11.25" hidden="1" outlineLevel="1" x14ac:dyDescent="0.2">
      <c r="A158" s="165"/>
      <c r="B158" s="165"/>
      <c r="C158" s="391" t="s">
        <v>330</v>
      </c>
      <c r="D158" s="391"/>
      <c r="E158" s="391"/>
      <c r="F158" s="391"/>
      <c r="G158" s="391"/>
      <c r="H158" s="391"/>
      <c r="I158" s="391" t="s">
        <v>331</v>
      </c>
      <c r="J158" s="391"/>
    </row>
    <row r="159" spans="1:255" hidden="1" outlineLevel="1" x14ac:dyDescent="0.2">
      <c r="A159" s="18"/>
      <c r="B159" s="18"/>
      <c r="C159" s="18"/>
      <c r="D159" s="18"/>
      <c r="E159" s="18"/>
      <c r="F159" s="18"/>
      <c r="G159" s="11" t="s">
        <v>332</v>
      </c>
      <c r="H159" s="18"/>
      <c r="I159" s="18"/>
      <c r="J159" s="18"/>
    </row>
    <row r="160" spans="1:255" hidden="1" outlineLevel="1" x14ac:dyDescent="0.2">
      <c r="A160" s="162" t="s">
        <v>221</v>
      </c>
      <c r="B160" s="162"/>
      <c r="C160" s="347" t="s">
        <v>344</v>
      </c>
      <c r="D160" s="347"/>
      <c r="E160" s="347"/>
      <c r="F160" s="347"/>
      <c r="G160" s="163"/>
      <c r="H160" s="163"/>
      <c r="I160" s="347" t="s">
        <v>345</v>
      </c>
      <c r="J160" s="347"/>
      <c r="BY160" s="164" t="str">
        <f>C160</f>
        <v>Руководитель ПТО ООО "ОСУ-2"</v>
      </c>
      <c r="BZ160" s="164" t="str">
        <f>I160</f>
        <v>Когтев В. И.</v>
      </c>
      <c r="IU160" s="23"/>
    </row>
    <row r="161" spans="1:10" s="166" customFormat="1" ht="11.25" hidden="1" outlineLevel="1" x14ac:dyDescent="0.2">
      <c r="A161" s="165"/>
      <c r="B161" s="165"/>
      <c r="C161" s="391" t="s">
        <v>330</v>
      </c>
      <c r="D161" s="391"/>
      <c r="E161" s="391"/>
      <c r="F161" s="391"/>
      <c r="G161" s="391"/>
      <c r="H161" s="391"/>
      <c r="I161" s="391" t="s">
        <v>331</v>
      </c>
      <c r="J161" s="391"/>
    </row>
    <row r="162" spans="1:10" hidden="1" outlineLevel="1" x14ac:dyDescent="0.2">
      <c r="A162" s="18"/>
      <c r="B162" s="18"/>
      <c r="C162" s="18"/>
      <c r="D162" s="18"/>
      <c r="E162" s="18"/>
      <c r="F162" s="18"/>
      <c r="G162" s="11" t="s">
        <v>332</v>
      </c>
      <c r="H162" s="18"/>
      <c r="I162" s="18"/>
      <c r="J162" s="18"/>
    </row>
    <row r="163" spans="1:10" collapsed="1" x14ac:dyDescent="0.2"/>
  </sheetData>
  <mergeCells count="85">
    <mergeCell ref="C158:H158"/>
    <mergeCell ref="I158:J158"/>
    <mergeCell ref="C160:F160"/>
    <mergeCell ref="I160:J160"/>
    <mergeCell ref="C161:H161"/>
    <mergeCell ref="I161:J161"/>
    <mergeCell ref="C154:F154"/>
    <mergeCell ref="I154:J154"/>
    <mergeCell ref="C155:H155"/>
    <mergeCell ref="I155:J155"/>
    <mergeCell ref="C157:F157"/>
    <mergeCell ref="I157:J157"/>
    <mergeCell ref="C146:H146"/>
    <mergeCell ref="I146:J146"/>
    <mergeCell ref="C148:F148"/>
    <mergeCell ref="I148:J148"/>
    <mergeCell ref="C149:H149"/>
    <mergeCell ref="I149:J149"/>
    <mergeCell ref="H78:I78"/>
    <mergeCell ref="J78:K78"/>
    <mergeCell ref="H79:I79"/>
    <mergeCell ref="J79:K79"/>
    <mergeCell ref="C145:F145"/>
    <mergeCell ref="I145:J145"/>
    <mergeCell ref="H62:I62"/>
    <mergeCell ref="J62:K62"/>
    <mergeCell ref="H70:I70"/>
    <mergeCell ref="J70:K70"/>
    <mergeCell ref="H71:I71"/>
    <mergeCell ref="J71:K71"/>
    <mergeCell ref="H61:I61"/>
    <mergeCell ref="J61:K61"/>
    <mergeCell ref="F42:F45"/>
    <mergeCell ref="G42:G45"/>
    <mergeCell ref="H42:H45"/>
    <mergeCell ref="I42:I45"/>
    <mergeCell ref="J42:J45"/>
    <mergeCell ref="K42:K45"/>
    <mergeCell ref="C48:K48"/>
    <mergeCell ref="H56:I56"/>
    <mergeCell ref="J56:K56"/>
    <mergeCell ref="H57:I57"/>
    <mergeCell ref="J57:K57"/>
    <mergeCell ref="C30:K30"/>
    <mergeCell ref="C31:K31"/>
    <mergeCell ref="A33:K33"/>
    <mergeCell ref="A34:K34"/>
    <mergeCell ref="C35:K35"/>
    <mergeCell ref="A42:A45"/>
    <mergeCell ref="B42:B45"/>
    <mergeCell ref="C42:C45"/>
    <mergeCell ref="D42:D45"/>
    <mergeCell ref="E42:E45"/>
    <mergeCell ref="C29:K29"/>
    <mergeCell ref="G14:H14"/>
    <mergeCell ref="J14:K14"/>
    <mergeCell ref="J15:K15"/>
    <mergeCell ref="J16:K16"/>
    <mergeCell ref="G18:G19"/>
    <mergeCell ref="H18:H19"/>
    <mergeCell ref="I18:J18"/>
    <mergeCell ref="C20:F20"/>
    <mergeCell ref="C21:F21"/>
    <mergeCell ref="C22:F22"/>
    <mergeCell ref="C23:F23"/>
    <mergeCell ref="E26:F26"/>
    <mergeCell ref="C11:G11"/>
    <mergeCell ref="J11:K11"/>
    <mergeCell ref="C12:G12"/>
    <mergeCell ref="J12:K12"/>
    <mergeCell ref="C13:G13"/>
    <mergeCell ref="J13:K13"/>
    <mergeCell ref="C8:G8"/>
    <mergeCell ref="J8:K8"/>
    <mergeCell ref="C9:G9"/>
    <mergeCell ref="J9:K9"/>
    <mergeCell ref="C10:G10"/>
    <mergeCell ref="J10:K10"/>
    <mergeCell ref="C7:G7"/>
    <mergeCell ref="J7:K7"/>
    <mergeCell ref="H2:K2"/>
    <mergeCell ref="H3:K3"/>
    <mergeCell ref="H4:K4"/>
    <mergeCell ref="J5:K5"/>
    <mergeCell ref="J6:K6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0"/>
  <sheetViews>
    <sheetView workbookViewId="0"/>
  </sheetViews>
  <sheetFormatPr defaultRowHeight="12.75" x14ac:dyDescent="0.2"/>
  <sheetData>
    <row r="1" spans="1:255" x14ac:dyDescent="0.2">
      <c r="B1" t="s">
        <v>199</v>
      </c>
    </row>
    <row r="3" spans="1:255" x14ac:dyDescent="0.2">
      <c r="A3">
        <v>3</v>
      </c>
      <c r="B3" t="s">
        <v>200</v>
      </c>
    </row>
    <row r="4" spans="1:255" x14ac:dyDescent="0.2">
      <c r="A4">
        <v>2</v>
      </c>
      <c r="B4" t="s">
        <v>201</v>
      </c>
    </row>
    <row r="5" spans="1:255" x14ac:dyDescent="0.2">
      <c r="A5">
        <v>0</v>
      </c>
      <c r="B5" t="s">
        <v>202</v>
      </c>
    </row>
    <row r="6" spans="1:255" x14ac:dyDescent="0.2">
      <c r="A6">
        <v>2</v>
      </c>
      <c r="B6" t="s">
        <v>203</v>
      </c>
    </row>
    <row r="7" spans="1:255" x14ac:dyDescent="0.2">
      <c r="A7">
        <v>0</v>
      </c>
      <c r="B7" t="s">
        <v>204</v>
      </c>
    </row>
    <row r="8" spans="1:255" x14ac:dyDescent="0.2">
      <c r="A8">
        <v>2</v>
      </c>
      <c r="B8" t="s">
        <v>205</v>
      </c>
    </row>
    <row r="9" spans="1:255" x14ac:dyDescent="0.2">
      <c r="A9">
        <v>0</v>
      </c>
      <c r="B9" t="s">
        <v>206</v>
      </c>
    </row>
    <row r="13" spans="1:255" x14ac:dyDescent="0.2">
      <c r="A13">
        <v>3</v>
      </c>
      <c r="B13" t="s">
        <v>266</v>
      </c>
      <c r="D13" t="s">
        <v>267</v>
      </c>
      <c r="F13" t="s">
        <v>268</v>
      </c>
    </row>
    <row r="14" spans="1:255" x14ac:dyDescent="0.2">
      <c r="A14">
        <v>513</v>
      </c>
      <c r="B14" t="s">
        <v>281</v>
      </c>
      <c r="D14" t="s">
        <v>267</v>
      </c>
      <c r="F14" t="s">
        <v>268</v>
      </c>
      <c r="AY14">
        <f>SUM('2.Лок.смета.и.Акт в ЕР'!AS47:'2.Лок.смета.и.Акт в ЕР'!AS79)</f>
        <v>0</v>
      </c>
      <c r="AZ14">
        <f>SUM('2.Лок.смета.и.Акт в ЕР'!AT47:'2.Лок.смета.и.Акт в ЕР'!AT79)</f>
        <v>0</v>
      </c>
      <c r="BA14">
        <f>SUM('2.Лок.смета.и.Акт в ЕР'!AU47:'2.Лок.смета.и.Акт в ЕР'!AU79)</f>
        <v>0</v>
      </c>
      <c r="BB14">
        <f>SUM('2.Лок.смета.и.Акт в ЕР'!AV47:'2.Лок.смета.и.Акт в ЕР'!AV79)</f>
        <v>0</v>
      </c>
      <c r="BC14">
        <f>SUM('2.Лок.смета.и.Акт в ЕР'!AW47:'2.Лок.смета.и.Акт в ЕР'!AW79)</f>
        <v>0</v>
      </c>
      <c r="BD14">
        <f>SUM('2.Лок.смета.и.Акт в ЕР'!AX47:'2.Лок.смета.и.Акт в ЕР'!AX79)</f>
        <v>0</v>
      </c>
      <c r="CW14">
        <f>Source!DM34</f>
        <v>278.18263499999995</v>
      </c>
      <c r="CX14">
        <f>Source!DN34</f>
        <v>95.796950999999993</v>
      </c>
      <c r="CY14">
        <f>Source!DG34</f>
        <v>244662</v>
      </c>
      <c r="CZ14">
        <f>Source!DK34</f>
        <v>55455</v>
      </c>
      <c r="DA14">
        <f>Source!DI34</f>
        <v>189207</v>
      </c>
      <c r="DB14">
        <f>Source!DJ34</f>
        <v>23899</v>
      </c>
      <c r="DC14">
        <f>Source!DH34</f>
        <v>0</v>
      </c>
      <c r="DD14">
        <f>Source!EG34</f>
        <v>0</v>
      </c>
      <c r="DE14">
        <f>Source!EN34</f>
        <v>0</v>
      </c>
      <c r="DF14">
        <f>Source!EO34</f>
        <v>0</v>
      </c>
      <c r="DG14">
        <f>Source!EP34</f>
        <v>0</v>
      </c>
      <c r="DH14">
        <f>Source!EQ34</f>
        <v>0</v>
      </c>
      <c r="DI14">
        <f>Source!EH34</f>
        <v>0</v>
      </c>
      <c r="DJ14">
        <f>Source!EI34</f>
        <v>0</v>
      </c>
      <c r="DK14">
        <f>Source!ER34</f>
        <v>0</v>
      </c>
      <c r="DL14">
        <f>Source!DL34</f>
        <v>0</v>
      </c>
      <c r="DM14">
        <f>Source!DO34</f>
        <v>0</v>
      </c>
      <c r="DN14">
        <f>Source!DP34</f>
        <v>63981</v>
      </c>
      <c r="DO14">
        <f>Source!DQ34</f>
        <v>31466</v>
      </c>
      <c r="DP14">
        <f>Source!EJ34</f>
        <v>340109</v>
      </c>
      <c r="DQ14">
        <f>Source!EK34</f>
        <v>340109</v>
      </c>
      <c r="DR14">
        <f>Source!EL34</f>
        <v>0</v>
      </c>
      <c r="DS14">
        <f>Source!EH34</f>
        <v>0</v>
      </c>
      <c r="DT14">
        <f>Source!EM34</f>
        <v>0</v>
      </c>
      <c r="DU14">
        <f>Source!EK34+Source!EL34</f>
        <v>340109</v>
      </c>
      <c r="DW14">
        <f>Source!ES34</f>
        <v>0</v>
      </c>
      <c r="DX14">
        <f>Source!ET34</f>
        <v>0</v>
      </c>
      <c r="DY14">
        <f>Source!EU34</f>
        <v>0</v>
      </c>
      <c r="DZ14">
        <f>Source!EV34</f>
        <v>116807</v>
      </c>
      <c r="ET14">
        <f>Source!DM34</f>
        <v>278.18263499999995</v>
      </c>
      <c r="EU14">
        <f>Source!DN34</f>
        <v>95.796950999999993</v>
      </c>
      <c r="EV14">
        <f>SUM('2.Лок.смета.и.Акт в ЕР'!GJ47:'2.Лок.смета.и.Акт в ЕР'!GJ79)</f>
        <v>29890</v>
      </c>
      <c r="EW14">
        <f>SUM('2.Лок.смета.и.Акт в ЕР'!GK47:'2.Лок.смета.и.Акт в ЕР'!GK79)</f>
        <v>2189</v>
      </c>
      <c r="EX14">
        <f>SUM('2.Лок.смета.и.Акт в ЕР'!GL47:'2.Лок.смета.и.Акт в ЕР'!GL79)</f>
        <v>27701</v>
      </c>
      <c r="EY14">
        <f>SUM('2.Лок.смета.и.Акт в ЕР'!GM47:'2.Лок.смета.и.Акт в ЕР'!GM79)</f>
        <v>1304</v>
      </c>
      <c r="EZ14">
        <f>SUM('2.Лок.смета.и.Акт в ЕР'!GN47:'2.Лок.смета.и.Акт в ЕР'!GN79)</f>
        <v>0</v>
      </c>
      <c r="FA14">
        <f>SUM('2.Лок.смета.и.Акт в ЕР'!GO47:'2.Лок.смета.и.Акт в ЕР'!GO79)</f>
        <v>0</v>
      </c>
      <c r="FB14">
        <f>SUM('2.Лок.смета.и.Акт в ЕР'!GP47:'2.Лок.смета.и.Акт в ЕР'!GP79)</f>
        <v>0</v>
      </c>
      <c r="FC14">
        <f>SUM('2.Лок.смета.и.Акт в ЕР'!GQ47:'2.Лок.смета.и.Акт в ЕР'!GQ79)</f>
        <v>0</v>
      </c>
      <c r="FD14">
        <f>SUM('2.Лок.смета.и.Акт в ЕР'!GR47:'2.Лок.смета.и.Акт в ЕР'!GR79)</f>
        <v>0</v>
      </c>
      <c r="FE14">
        <f>SUM('2.Лок.смета.и.Акт в ЕР'!GS47:'2.Лок.смета.и.Акт в ЕР'!GS79)</f>
        <v>0</v>
      </c>
      <c r="FF14">
        <f>SUM('2.Лок.смета.и.Акт в ЕР'!GT47:'2.Лок.смета.и.Акт в ЕР'!GT79)</f>
        <v>0</v>
      </c>
      <c r="FG14">
        <f>SUM('2.Лок.смета.и.Акт в ЕР'!GU47:'2.Лок.смета.и.Акт в ЕР'!GU79)</f>
        <v>0</v>
      </c>
      <c r="FH14">
        <f>SUM('2.Лок.смета.и.Акт в ЕР'!GV47:'2.Лок.смета.и.Акт в ЕР'!GV79)</f>
        <v>0</v>
      </c>
      <c r="FI14">
        <f>SUM('2.Лок.смета.и.Акт в ЕР'!GW47:'2.Лок.смета.и.Акт в ЕР'!GW79)</f>
        <v>0</v>
      </c>
      <c r="FJ14">
        <f>SUM('2.Лок.смета.и.Акт в ЕР'!GX47:'2.Лок.смета.и.Акт в ЕР'!GX79)</f>
        <v>0</v>
      </c>
      <c r="FK14">
        <f>SUM('2.Лок.смета.и.Акт в ЕР'!GY47:'2.Лок.смета.и.Акт в ЕР'!GY79)</f>
        <v>3004</v>
      </c>
      <c r="FL14">
        <f>SUM('2.Лок.смета.и.Акт в ЕР'!GZ47:'2.Лок.смета.и.Акт в ЕР'!GZ79)</f>
        <v>1643</v>
      </c>
      <c r="FM14">
        <f>SUM('2.Лок.смета.и.Акт в ЕР'!HA47:'2.Лок.смета.и.Акт в ЕР'!HA79)</f>
        <v>34537</v>
      </c>
      <c r="FN14">
        <f>SUM('2.Лок.смета.и.Акт в ЕР'!HB47:'2.Лок.смета.и.Акт в ЕР'!HB79)</f>
        <v>34537</v>
      </c>
      <c r="FO14">
        <f>SUM('2.Лок.смета.и.Акт в ЕР'!HC47:'2.Лок.смета.и.Акт в ЕР'!HC79)</f>
        <v>0</v>
      </c>
      <c r="FP14">
        <f>SUM('2.Лок.смета.и.Акт в ЕР'!HD47:'2.Лок.смета.и.Акт в ЕР'!HD79)</f>
        <v>0</v>
      </c>
      <c r="FQ14">
        <f>SUM('2.Лок.смета.и.Акт в ЕР'!HE47:'2.Лок.смета.и.Акт в ЕР'!HE79)</f>
        <v>0</v>
      </c>
      <c r="FR14">
        <f>'2.Лок.смета.и.Акт в ЕР'!FN80+'2.Лок.смета.и.Акт в ЕР'!FO80</f>
        <v>34537</v>
      </c>
      <c r="FS14">
        <f>SUM('2.Лок.смета.и.Акт в ЕР'!HG47:'2.Лок.смета.и.Акт в ЕР'!HG79)</f>
        <v>0</v>
      </c>
      <c r="FT14">
        <f>SUM('2.Лок.смета.и.Акт в ЕР'!HH47:'2.Лок.смета.и.Акт в ЕР'!HH79)</f>
        <v>0</v>
      </c>
      <c r="FU14">
        <f>SUM('2.Лок.смета.и.Акт в ЕР'!HI47:'2.Лок.смета.и.Акт в ЕР'!HI79)</f>
        <v>0</v>
      </c>
      <c r="FV14">
        <f>SUM('2.Лок.смета.и.Акт в ЕР'!HJ47:'2.Лок.смета.и.Акт в ЕР'!HJ79)</f>
        <v>0</v>
      </c>
      <c r="FW14">
        <f>SUM('2.Лок.смета.и.Акт в ЕР'!HK47:'2.Лок.смета.и.Акт в ЕР'!HK79)</f>
        <v>16406</v>
      </c>
      <c r="FX14">
        <f>SUMIF('2.Лок.смета.и.Акт в ЕР'!CV47:'2.Лок.смета.и.Акт в ЕР'!CV79,1,'2.Лок.смета.и.Акт в ЕР'!GK47:'2.Лок.смета.и.Акт в ЕР'!GK79)</f>
        <v>2189</v>
      </c>
      <c r="FY14">
        <f>SUMIF('2.Лок.смета.и.Акт в ЕР'!CV47:'2.Лок.смета.и.Акт в ЕР'!CV79,2,'2.Лок.смета.и.Акт в ЕР'!GK47:'2.Лок.смета.и.Акт в ЕР'!GK79)</f>
        <v>0</v>
      </c>
      <c r="FZ14">
        <f>SUMIF('2.Лок.смета.и.Акт в ЕР'!CV47:'2.Лок.смета.и.Акт в ЕР'!CV79,5,'2.Лок.смета.и.Акт в ЕР'!GK47:'2.Лок.смета.и.Акт в ЕР'!GK79)</f>
        <v>0</v>
      </c>
      <c r="GA14">
        <f>SUMIF('2.Лок.смета.и.Акт в ЕР'!CV47:'2.Лок.смета.и.Акт в ЕР'!CV79,4,'2.Лок.смета.и.Акт в ЕР'!GK47:'2.Лок.смета.и.Акт в ЕР'!GK79)</f>
        <v>0</v>
      </c>
      <c r="GB14">
        <f>SUMIF('2.Лок.смета.и.Акт в ЕР'!CV47:'2.Лок.смета.и.Акт в ЕР'!CV79,1,'2.Лок.смета.и.Акт в ЕР'!GL47:'2.Лок.смета.и.Акт в ЕР'!GL79)</f>
        <v>27701</v>
      </c>
      <c r="GC14">
        <f>SUMIF('2.Лок.смета.и.Акт в ЕР'!CV47:'2.Лок.смета.и.Акт в ЕР'!CV79,2,'2.Лок.смета.и.Акт в ЕР'!GL47:'2.Лок.смета.и.Акт в ЕР'!GL79)</f>
        <v>0</v>
      </c>
      <c r="GD14">
        <f>SUMIF('2.Лок.смета.и.Акт в ЕР'!CV47:'2.Лок.смета.и.Акт в ЕР'!CV79,4,'2.Лок.смета.и.Акт в ЕР'!GL47:'2.Лок.смета.и.Акт в ЕР'!GL79)</f>
        <v>0</v>
      </c>
      <c r="GE14">
        <f>SUMIF('2.Лок.смета.и.Акт в ЕР'!CV47:'2.Лок.смета.и.Акт в ЕР'!CV79,1,'2.Лок.смета.и.Акт в ЕР'!GQ47:'2.Лок.смета.и.Акт в ЕР'!GQ79)</f>
        <v>0</v>
      </c>
      <c r="GF14">
        <f>SUMIF('2.Лок.смета.и.Акт в ЕР'!CV47:'2.Лок.смета.и.Акт в ЕР'!CV79,2,'2.Лок.смета.и.Акт в ЕР'!GQ47:'2.Лок.смета.и.Акт в ЕР'!GQ79)</f>
        <v>0</v>
      </c>
      <c r="GG14">
        <f>SUMIF('2.Лок.смета.и.Акт в ЕР'!CV47:'2.Лок.смета.и.Акт в ЕР'!CV79,4,'2.Лок.смета.и.Акт в ЕР'!GQ47:'2.Лок.смета.и.Акт в ЕР'!GQ79)</f>
        <v>0</v>
      </c>
      <c r="IB14">
        <f>SUM('2.Лок.смета.и.Акт в ЕР'!HO47:'2.Лок.смета.и.Акт в ЕР'!HO79)</f>
        <v>16406</v>
      </c>
      <c r="IC14">
        <f>SUM('2.Лок.смета.и.Акт в ЕР'!HQ47:'2.Лок.смета.и.Акт в ЕР'!HQ79)</f>
        <v>0</v>
      </c>
      <c r="ID14">
        <f>SUM('2.Лок.смета.и.Акт в ЕР'!HS47:'2.Лок.смета.и.Акт в ЕР'!HS79)</f>
        <v>0</v>
      </c>
      <c r="IE14">
        <f>SUM('2.Лок.смета.и.Акт в ЕР'!HU47:'2.Лок.смета.и.Акт в ЕР'!HU79)</f>
        <v>0</v>
      </c>
      <c r="IF14">
        <f>SUM('2.Лок.смета.и.Акт в ЕР'!HY47:'2.Лок.смета.и.Акт в ЕР'!HY79)</f>
        <v>0</v>
      </c>
      <c r="IG14">
        <f>SUM('2.Лок.смета.и.Акт в ЕР'!HZ47:'2.Лок.смета.и.Акт в ЕР'!HZ79)</f>
        <v>0</v>
      </c>
      <c r="IH14">
        <f>SUM('2.Лок.смета.и.Акт в ЕР'!HL47:'2.Лок.смета.и.Акт в ЕР'!HL79)</f>
        <v>18131</v>
      </c>
      <c r="II14">
        <f>SUM('2.Лок.смета.и.Акт в ЕР'!HN47:'2.Лок.смета.и.Акт в ЕР'!HN79)</f>
        <v>18131</v>
      </c>
      <c r="IJ14">
        <f>SUM('2.Лок.смета.и.Акт в ЕР'!HP47:'2.Лок.смета.и.Акт в ЕР'!HP79)</f>
        <v>0</v>
      </c>
      <c r="IK14">
        <f>SUM('2.Лок.смета.и.Акт в ЕР'!HR47:'2.Лок.смета.и.Акт в ЕР'!HR79)</f>
        <v>0</v>
      </c>
      <c r="IL14">
        <f>SUM('2.Лок.смета.и.Акт в ЕР'!HT47:'2.Лок.смета.и.Акт в ЕР'!HT79)</f>
        <v>0</v>
      </c>
      <c r="IM14">
        <f>SUM('2.Лок.смета.и.Акт в ЕР'!HW47:'2.Лок.смета.и.Акт в ЕР'!HW79)</f>
        <v>0</v>
      </c>
      <c r="IN14">
        <f>SUMIF('2.Лок.смета.и.Акт в ЕР'!CV47:'2.Лок.смета.и.Акт в ЕР'!CV79,1,'2.Лок.смета.и.Акт в ЕР'!GY47:'2.Лок.смета.и.Акт в ЕР'!GY79)</f>
        <v>3004</v>
      </c>
      <c r="IO14">
        <f>SUMIF('2.Лок.смета.и.Акт в ЕР'!CV47:'2.Лок.смета.и.Акт в ЕР'!CV79,2,'2.Лок.смета.и.Акт в ЕР'!GY47:'2.Лок.смета.и.Акт в ЕР'!GY79)</f>
        <v>0</v>
      </c>
      <c r="IP14">
        <f>SUMIF('2.Лок.смета.и.Акт в ЕР'!CV47:'2.Лок.смета.и.Акт в ЕР'!CV79,5,'2.Лок.смета.и.Акт в ЕР'!GY47:'2.Лок.смета.и.Акт в ЕР'!GY79)</f>
        <v>0</v>
      </c>
      <c r="IQ14">
        <f>SUMIF('2.Лок.смета.и.Акт в ЕР'!CV47:'2.Лок.смета.и.Акт в ЕР'!CV79,4,'2.Лок.смета.и.Акт в ЕР'!GY47:'2.Лок.смета.и.Акт в ЕР'!GY79)</f>
        <v>0</v>
      </c>
      <c r="IR14">
        <f>SUMIF('2.Лок.смета.и.Акт в ЕР'!CV47:'2.Лок.смета.и.Акт в ЕР'!CV79,1,'2.Лок.смета.и.Акт в ЕР'!GZ47:'2.Лок.смета.и.Акт в ЕР'!GZ79)</f>
        <v>1643</v>
      </c>
      <c r="IS14">
        <f>SUMIF('2.Лок.смета.и.Акт в ЕР'!CV47:'2.Лок.смета.и.Акт в ЕР'!CV79,2,'2.Лок.смета.и.Акт в ЕР'!GZ47:'2.Лок.смета.и.Акт в ЕР'!GZ79)</f>
        <v>0</v>
      </c>
      <c r="IT14">
        <f>SUMIF('2.Лок.смета.и.Акт в ЕР'!CV47:'2.Лок.смета.и.Акт в ЕР'!CV79,5,'2.Лок.смета.и.Акт в ЕР'!GZ47:'2.Лок.смета.и.Акт в ЕР'!GZ79)</f>
        <v>0</v>
      </c>
      <c r="IU14">
        <f>SUMIF('2.Лок.смета.и.Акт в ЕР'!CV47:'2.Лок.смета.и.Акт в ЕР'!CV79,4,'2.Лок.смета.и.Акт в ЕР'!GZ47:'2.Лок.смета.и.Акт в ЕР'!GZ79)</f>
        <v>0</v>
      </c>
    </row>
    <row r="15" spans="1:255" x14ac:dyDescent="0.2">
      <c r="A15">
        <v>999</v>
      </c>
      <c r="B15" t="s">
        <v>340</v>
      </c>
    </row>
    <row r="80" spans="57:68" x14ac:dyDescent="0.2">
      <c r="BE80">
        <f>SUMIF('2.Лок.смета.и.Акт в ЕР'!CV47:'2.Лок.смета.и.Акт в ЕР'!CV79,1,'2.Лок.смета.и.Акт в ЕР'!AV47:'2.Лок.смета.и.Акт в ЕР'!AV79)</f>
        <v>0</v>
      </c>
      <c r="BF80">
        <f>SUMIF('2.Лок.смета.и.Акт в ЕР'!CV47:'2.Лок.смета.и.Акт в ЕР'!CV79,2,'2.Лок.смета.и.Акт в ЕР'!AV47:'2.Лок.смета.и.Акт в ЕР'!AV79)</f>
        <v>0</v>
      </c>
      <c r="BG80">
        <f>SUMIF('2.Лок.смета.и.Акт в ЕР'!CV47:'2.Лок.смета.и.Акт в ЕР'!CV79,5,'2.Лок.смета.и.Акт в ЕР'!AV47:'2.Лок.смета.и.Акт в ЕР'!AV79)</f>
        <v>0</v>
      </c>
      <c r="BH80">
        <f>SUMIF('2.Лок.смета.и.Акт в ЕР'!CV47:'2.Лок.смета.и.Акт в ЕР'!CV79,4,'2.Лок.смета.и.Акт в ЕР'!AV47:'2.Лок.смета.и.Акт в ЕР'!AV79)</f>
        <v>0</v>
      </c>
      <c r="BI80">
        <f>SUMIF('2.Лок.смета.и.Акт в ЕР'!CV47:'2.Лок.смета.и.Акт в ЕР'!CV79,1,'2.Лок.смета.и.Акт в ЕР'!AW47:'2.Лок.смета.и.Акт в ЕР'!AW79)</f>
        <v>0</v>
      </c>
      <c r="BJ80">
        <f>SUMIF('2.Лок.смета.и.Акт в ЕР'!CV47:'2.Лок.смета.и.Акт в ЕР'!CV79,2,'2.Лок.смета.и.Акт в ЕР'!AW47:'2.Лок.смета.и.Акт в ЕР'!AW79)</f>
        <v>0</v>
      </c>
      <c r="BK80">
        <f>SUMIF('2.Лок.смета.и.Акт в ЕР'!CV47:'2.Лок.смета.и.Акт в ЕР'!CV79,5,'2.Лок.смета.и.Акт в ЕР'!AW47:'2.Лок.смета.и.Акт в ЕР'!AW79)</f>
        <v>0</v>
      </c>
      <c r="BL80">
        <f>SUMIF('2.Лок.смета.и.Акт в ЕР'!CV47:'2.Лок.смета.и.Акт в ЕР'!CV79,4,'2.Лок.смета.и.Акт в ЕР'!AW47:'2.Лок.смета.и.Акт в ЕР'!AW79)</f>
        <v>0</v>
      </c>
      <c r="BM80">
        <f>SUMIF('2.Лок.смета.и.Акт в ЕР'!CV47:'2.Лок.смета.и.Акт в ЕР'!CV79,1,'2.Лок.смета.и.Акт в ЕР'!AX47:'2.Лок.смета.и.Акт в ЕР'!AX79)</f>
        <v>0</v>
      </c>
      <c r="BN80">
        <f>SUMIF('2.Лок.смета.и.Акт в ЕР'!CV47:'2.Лок.смета.и.Акт в ЕР'!CV79,2,'2.Лок.смета.и.Акт в ЕР'!AX47:'2.Лок.смета.и.Акт в ЕР'!AX79)</f>
        <v>0</v>
      </c>
      <c r="BO80">
        <f>SUMIF('2.Лок.смета.и.Акт в ЕР'!CV47:'2.Лок.смета.и.Акт в ЕР'!CV79,5,'2.Лок.смета.и.Акт в ЕР'!AX47:'2.Лок.смета.и.Акт в ЕР'!AX79)</f>
        <v>0</v>
      </c>
      <c r="BP80">
        <f>SUMIF('2.Лок.смета.и.Акт в ЕР'!CV47:'2.Лок.смета.и.Акт в ЕР'!CV79,4,'2.Лок.смета.и.Акт в ЕР'!AX47:'2.Лок.смета.и.Акт в ЕР'!AX79)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64"/>
  <sheetViews>
    <sheetView zoomScaleNormal="100" workbookViewId="0">
      <selection activeCell="C31" sqref="C31:K31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113.7109375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5" customFormat="1" ht="11.25" x14ac:dyDescent="0.2">
      <c r="A1" s="15" t="s">
        <v>211</v>
      </c>
    </row>
    <row r="2" spans="1:255" hidden="1" outlineLevel="1" x14ac:dyDescent="0.2">
      <c r="H2" s="351" t="s">
        <v>212</v>
      </c>
      <c r="I2" s="351"/>
      <c r="J2" s="351"/>
      <c r="K2" s="351"/>
    </row>
    <row r="3" spans="1:255" hidden="1" outlineLevel="1" x14ac:dyDescent="0.2">
      <c r="H3" s="351" t="s">
        <v>213</v>
      </c>
      <c r="I3" s="351"/>
      <c r="J3" s="351"/>
      <c r="K3" s="351"/>
    </row>
    <row r="4" spans="1:255" hidden="1" outlineLevel="1" x14ac:dyDescent="0.2">
      <c r="H4" s="351" t="s">
        <v>214</v>
      </c>
      <c r="I4" s="351"/>
      <c r="J4" s="351"/>
      <c r="K4" s="351"/>
    </row>
    <row r="5" spans="1:255" s="14" customFormat="1" ht="11.25" hidden="1" outlineLevel="1" x14ac:dyDescent="0.2">
      <c r="J5" s="352" t="s">
        <v>215</v>
      </c>
      <c r="K5" s="353"/>
    </row>
    <row r="6" spans="1:255" s="16" customFormat="1" ht="9.75" hidden="1" outlineLevel="1" x14ac:dyDescent="0.2">
      <c r="I6" s="17" t="s">
        <v>216</v>
      </c>
      <c r="J6" s="354" t="s">
        <v>217</v>
      </c>
      <c r="K6" s="355"/>
    </row>
    <row r="7" spans="1:255" hidden="1" outlineLevel="1" x14ac:dyDescent="0.2">
      <c r="A7" s="21" t="s">
        <v>218</v>
      </c>
      <c r="B7" s="19"/>
      <c r="C7" s="329"/>
      <c r="D7" s="330"/>
      <c r="E7" s="330"/>
      <c r="F7" s="330"/>
      <c r="G7" s="330"/>
      <c r="I7" s="17" t="s">
        <v>219</v>
      </c>
      <c r="J7" s="349"/>
      <c r="K7" s="350"/>
      <c r="BR7" s="22">
        <f>C7</f>
        <v>0</v>
      </c>
      <c r="IU7" s="23"/>
    </row>
    <row r="8" spans="1:255" hidden="1" outlineLevel="1" x14ac:dyDescent="0.2">
      <c r="A8" s="21" t="s">
        <v>220</v>
      </c>
      <c r="B8" s="19"/>
      <c r="C8" s="331"/>
      <c r="D8" s="332"/>
      <c r="E8" s="332"/>
      <c r="F8" s="332"/>
      <c r="G8" s="332"/>
      <c r="I8" s="17" t="s">
        <v>219</v>
      </c>
      <c r="J8" s="349"/>
      <c r="K8" s="350"/>
      <c r="BR8" s="22">
        <f>C8</f>
        <v>0</v>
      </c>
      <c r="IU8" s="23"/>
    </row>
    <row r="9" spans="1:255" hidden="1" outlineLevel="1" x14ac:dyDescent="0.2">
      <c r="A9" s="21" t="s">
        <v>221</v>
      </c>
      <c r="B9" s="19"/>
      <c r="C9" s="331"/>
      <c r="D9" s="332"/>
      <c r="E9" s="332"/>
      <c r="F9" s="332"/>
      <c r="G9" s="332"/>
      <c r="I9" s="17" t="s">
        <v>219</v>
      </c>
      <c r="J9" s="349"/>
      <c r="K9" s="350"/>
      <c r="BR9" s="22">
        <f>C9</f>
        <v>0</v>
      </c>
      <c r="IU9" s="23"/>
    </row>
    <row r="10" spans="1:255" hidden="1" outlineLevel="1" x14ac:dyDescent="0.2">
      <c r="A10" s="21" t="s">
        <v>222</v>
      </c>
      <c r="B10" s="19"/>
      <c r="C10" s="331"/>
      <c r="D10" s="332"/>
      <c r="E10" s="332"/>
      <c r="F10" s="332"/>
      <c r="G10" s="332"/>
      <c r="I10" s="17" t="s">
        <v>219</v>
      </c>
      <c r="J10" s="349"/>
      <c r="K10" s="350"/>
      <c r="BR10" s="22">
        <f>C10</f>
        <v>0</v>
      </c>
      <c r="IU10" s="23"/>
    </row>
    <row r="11" spans="1:255" ht="38.25" hidden="1" outlineLevel="1" x14ac:dyDescent="0.2">
      <c r="A11" s="21" t="s">
        <v>223</v>
      </c>
      <c r="C11" s="356" t="s">
        <v>4</v>
      </c>
      <c r="D11" s="356"/>
      <c r="E11" s="356"/>
      <c r="F11" s="356"/>
      <c r="G11" s="356"/>
      <c r="J11" s="349"/>
      <c r="K11" s="357"/>
      <c r="BS11" s="26" t="str">
        <f>C11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8.25" hidden="1" outlineLevel="1" x14ac:dyDescent="0.2">
      <c r="A12" s="21" t="s">
        <v>224</v>
      </c>
      <c r="C12" s="356" t="s">
        <v>4</v>
      </c>
      <c r="D12" s="356"/>
      <c r="E12" s="356"/>
      <c r="F12" s="356"/>
      <c r="G12" s="356"/>
      <c r="J12" s="349"/>
      <c r="K12" s="357"/>
      <c r="BS12" s="26" t="str">
        <f>C12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hidden="1" outlineLevel="1" x14ac:dyDescent="0.2">
      <c r="A13" s="21" t="s">
        <v>225</v>
      </c>
      <c r="C13" s="358" t="s">
        <v>226</v>
      </c>
      <c r="D13" s="359"/>
      <c r="E13" s="359"/>
      <c r="F13" s="359"/>
      <c r="G13" s="359"/>
      <c r="I13" s="17" t="s">
        <v>227</v>
      </c>
      <c r="J13" s="349"/>
      <c r="K13" s="357"/>
      <c r="BS13" s="27" t="str">
        <f>C13</f>
        <v xml:space="preserve"> 5.1.1.1 Устройство котлована</v>
      </c>
      <c r="IU13" s="23"/>
    </row>
    <row r="14" spans="1:255" hidden="1" outlineLevel="1" x14ac:dyDescent="0.2">
      <c r="G14" s="361" t="s">
        <v>228</v>
      </c>
      <c r="H14" s="361"/>
      <c r="I14" s="28" t="s">
        <v>229</v>
      </c>
      <c r="J14" s="362"/>
      <c r="K14" s="363"/>
      <c r="BW14" s="30">
        <f>J14</f>
        <v>0</v>
      </c>
      <c r="IU14" s="23"/>
    </row>
    <row r="15" spans="1:255" hidden="1" outlineLevel="1" x14ac:dyDescent="0.2">
      <c r="I15" s="29" t="s">
        <v>230</v>
      </c>
      <c r="J15" s="364"/>
      <c r="K15" s="365"/>
    </row>
    <row r="16" spans="1:255" s="16" customFormat="1" ht="11.25" hidden="1" outlineLevel="1" x14ac:dyDescent="0.2">
      <c r="I16" s="17" t="s">
        <v>231</v>
      </c>
      <c r="J16" s="366"/>
      <c r="K16" s="367"/>
    </row>
    <row r="17" spans="1:255" hidden="1" outlineLevel="1" x14ac:dyDescent="0.2"/>
    <row r="18" spans="1:255" hidden="1" outlineLevel="1" x14ac:dyDescent="0.2">
      <c r="G18" s="368" t="s">
        <v>232</v>
      </c>
      <c r="H18" s="368" t="s">
        <v>233</v>
      </c>
      <c r="I18" s="370" t="s">
        <v>234</v>
      </c>
      <c r="J18" s="371"/>
    </row>
    <row r="19" spans="1:255" ht="13.5" hidden="1" outlineLevel="1" thickBot="1" x14ac:dyDescent="0.25">
      <c r="G19" s="369"/>
      <c r="H19" s="369"/>
      <c r="I19" s="33" t="s">
        <v>235</v>
      </c>
      <c r="J19" s="34" t="s">
        <v>236</v>
      </c>
    </row>
    <row r="20" spans="1:255" ht="19.5" hidden="1" outlineLevel="1" thickBot="1" x14ac:dyDescent="0.35">
      <c r="C20" s="336" t="s">
        <v>237</v>
      </c>
      <c r="D20" s="336"/>
      <c r="E20" s="336"/>
      <c r="F20" s="336"/>
      <c r="G20" s="36"/>
      <c r="H20" s="37"/>
      <c r="I20" s="38"/>
      <c r="J20" s="39"/>
      <c r="K20" s="40"/>
    </row>
    <row r="21" spans="1:255" ht="15.75" hidden="1" outlineLevel="1" x14ac:dyDescent="0.25">
      <c r="C21" s="372" t="s">
        <v>238</v>
      </c>
      <c r="D21" s="372"/>
      <c r="E21" s="372"/>
      <c r="F21" s="372"/>
    </row>
    <row r="22" spans="1:255" hidden="1" outlineLevel="1" x14ac:dyDescent="0.2">
      <c r="C22" s="337"/>
      <c r="D22" s="335"/>
      <c r="E22" s="335"/>
      <c r="F22" s="335"/>
    </row>
    <row r="23" spans="1:255" hidden="1" outlineLevel="1" x14ac:dyDescent="0.2">
      <c r="C23" s="373" t="s">
        <v>15</v>
      </c>
      <c r="D23" s="374"/>
      <c r="E23" s="374"/>
      <c r="F23" s="374"/>
      <c r="BU23" s="22">
        <f>A23</f>
        <v>0</v>
      </c>
      <c r="IU23" s="23"/>
    </row>
    <row r="24" spans="1:255" hidden="1" outlineLevel="1" x14ac:dyDescent="0.2">
      <c r="A24" s="16" t="s">
        <v>239</v>
      </c>
    </row>
    <row r="25" spans="1:255" hidden="1" outlineLevel="1" x14ac:dyDescent="0.2">
      <c r="A25" s="16" t="s">
        <v>240</v>
      </c>
    </row>
    <row r="26" spans="1:255" hidden="1" outlineLevel="1" x14ac:dyDescent="0.2">
      <c r="A26" s="16" t="s">
        <v>241</v>
      </c>
      <c r="B26" s="16"/>
      <c r="C26" s="16"/>
      <c r="D26" s="16"/>
      <c r="E26" s="375">
        <f>K140/1000</f>
        <v>297.327</v>
      </c>
      <c r="F26" s="375"/>
      <c r="G26" s="16" t="s">
        <v>242</v>
      </c>
      <c r="H26" s="16"/>
      <c r="I26" s="16"/>
      <c r="J26" s="16"/>
      <c r="K26" s="16"/>
    </row>
    <row r="27" spans="1:255" collapsed="1" x14ac:dyDescent="0.2"/>
    <row r="28" spans="1:255" outlineLevel="1" x14ac:dyDescent="0.2">
      <c r="K28" s="41" t="s">
        <v>243</v>
      </c>
    </row>
    <row r="29" spans="1:255" ht="24" outlineLevel="1" x14ac:dyDescent="0.2">
      <c r="A29" s="21" t="s">
        <v>223</v>
      </c>
      <c r="C29" s="360" t="s">
        <v>4</v>
      </c>
      <c r="D29" s="360"/>
      <c r="E29" s="360"/>
      <c r="F29" s="360"/>
      <c r="G29" s="360"/>
      <c r="H29" s="360"/>
      <c r="I29" s="360"/>
      <c r="J29" s="360"/>
      <c r="K29" s="360"/>
      <c r="BT29" s="43" t="str">
        <f>C29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29" s="23"/>
    </row>
    <row r="30" spans="1:255" ht="24" outlineLevel="1" x14ac:dyDescent="0.2">
      <c r="A30" s="21" t="s">
        <v>224</v>
      </c>
      <c r="C30" s="360" t="s">
        <v>4</v>
      </c>
      <c r="D30" s="360"/>
      <c r="E30" s="360"/>
      <c r="F30" s="360"/>
      <c r="G30" s="360"/>
      <c r="H30" s="360"/>
      <c r="I30" s="360"/>
      <c r="J30" s="360"/>
      <c r="K30" s="360"/>
      <c r="BT30" s="43" t="str">
        <f>C30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30" s="23"/>
    </row>
    <row r="31" spans="1:255" outlineLevel="1" x14ac:dyDescent="0.2">
      <c r="A31" s="21" t="s">
        <v>225</v>
      </c>
      <c r="C31" s="380" t="s">
        <v>244</v>
      </c>
      <c r="D31" s="360"/>
      <c r="E31" s="360"/>
      <c r="F31" s="360"/>
      <c r="G31" s="360"/>
      <c r="H31" s="360"/>
      <c r="I31" s="360"/>
      <c r="J31" s="360"/>
      <c r="K31" s="360"/>
      <c r="BT31" s="44" t="str">
        <f>C31</f>
        <v xml:space="preserve"> 5.1.1.1 Устройство котлована </v>
      </c>
      <c r="IU31" s="23"/>
    </row>
    <row r="32" spans="1:255" outlineLevel="1" x14ac:dyDescent="0.2"/>
    <row r="33" spans="1:255" ht="18.75" outlineLevel="1" x14ac:dyDescent="0.3">
      <c r="A33" s="336" t="s">
        <v>245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6"/>
    </row>
    <row r="34" spans="1:255" outlineLevel="1" x14ac:dyDescent="0.2">
      <c r="A34" s="381" t="s">
        <v>15</v>
      </c>
      <c r="B34" s="381"/>
      <c r="C34" s="381"/>
      <c r="D34" s="381"/>
      <c r="E34" s="381"/>
      <c r="F34" s="381"/>
      <c r="G34" s="381"/>
      <c r="H34" s="381"/>
      <c r="I34" s="381"/>
      <c r="J34" s="381"/>
      <c r="K34" s="381"/>
      <c r="BV34" s="26" t="str">
        <f>A34</f>
        <v>Устройство котлована</v>
      </c>
      <c r="IU34" s="23"/>
    </row>
    <row r="35" spans="1:255" outlineLevel="1" x14ac:dyDescent="0.2">
      <c r="A35" s="21" t="s">
        <v>246</v>
      </c>
      <c r="C35" s="360" t="s">
        <v>402</v>
      </c>
      <c r="D35" s="360"/>
      <c r="E35" s="360"/>
      <c r="F35" s="360"/>
      <c r="G35" s="360"/>
      <c r="H35" s="360"/>
      <c r="I35" s="360"/>
      <c r="J35" s="360"/>
      <c r="K35" s="360"/>
      <c r="BT35" s="43" t="str">
        <f>C35</f>
        <v>14-22-ОДСК-АС1</v>
      </c>
      <c r="IU35" s="23"/>
    </row>
    <row r="36" spans="1:255" outlineLevel="1" x14ac:dyDescent="0.2">
      <c r="I36" s="45" t="s">
        <v>247</v>
      </c>
      <c r="J36" s="45" t="s">
        <v>248</v>
      </c>
    </row>
    <row r="37" spans="1:255" outlineLevel="1" x14ac:dyDescent="0.2">
      <c r="G37" s="35" t="s">
        <v>249</v>
      </c>
      <c r="H37" s="35"/>
      <c r="I37" s="46">
        <f>I140/1000</f>
        <v>34.536999999999999</v>
      </c>
      <c r="J37" s="46">
        <f>K140/1000</f>
        <v>297.327</v>
      </c>
      <c r="K37" s="35" t="s">
        <v>250</v>
      </c>
    </row>
    <row r="38" spans="1:255" outlineLevel="1" x14ac:dyDescent="0.2">
      <c r="G38" s="16" t="s">
        <v>251</v>
      </c>
      <c r="H38" s="16"/>
      <c r="I38" s="47">
        <f>(EW80)/1000</f>
        <v>2.1890000000000001</v>
      </c>
      <c r="J38" s="47">
        <f>(CZ80)/1000</f>
        <v>55.454999999999998</v>
      </c>
      <c r="K38" s="16" t="s">
        <v>250</v>
      </c>
    </row>
    <row r="39" spans="1:255" outlineLevel="1" x14ac:dyDescent="0.2">
      <c r="G39" s="16" t="s">
        <v>252</v>
      </c>
      <c r="H39" s="16"/>
      <c r="I39" s="47">
        <f>ET80</f>
        <v>278.18263499999995</v>
      </c>
      <c r="J39" s="47">
        <f>CW80</f>
        <v>278.18263499999995</v>
      </c>
      <c r="K39" s="16" t="s">
        <v>253</v>
      </c>
    </row>
    <row r="40" spans="1:255" outlineLevel="1" x14ac:dyDescent="0.2">
      <c r="A40" s="16" t="s">
        <v>254</v>
      </c>
    </row>
    <row r="41" spans="1:255" ht="13.5" outlineLevel="1" thickBot="1" x14ac:dyDescent="0.25">
      <c r="A41" s="16" t="s">
        <v>240</v>
      </c>
    </row>
    <row r="42" spans="1:255" x14ac:dyDescent="0.2">
      <c r="A42" s="376" t="s">
        <v>255</v>
      </c>
      <c r="B42" s="378" t="s">
        <v>256</v>
      </c>
      <c r="C42" s="378" t="s">
        <v>257</v>
      </c>
      <c r="D42" s="378" t="s">
        <v>258</v>
      </c>
      <c r="E42" s="378" t="s">
        <v>259</v>
      </c>
      <c r="F42" s="378" t="s">
        <v>260</v>
      </c>
      <c r="G42" s="378" t="s">
        <v>261</v>
      </c>
      <c r="H42" s="378" t="s">
        <v>262</v>
      </c>
      <c r="I42" s="378" t="s">
        <v>263</v>
      </c>
      <c r="J42" s="378" t="s">
        <v>264</v>
      </c>
      <c r="K42" s="385" t="s">
        <v>265</v>
      </c>
    </row>
    <row r="43" spans="1:255" x14ac:dyDescent="0.2">
      <c r="A43" s="377"/>
      <c r="B43" s="379"/>
      <c r="C43" s="379"/>
      <c r="D43" s="379"/>
      <c r="E43" s="379"/>
      <c r="F43" s="379"/>
      <c r="G43" s="379"/>
      <c r="H43" s="379"/>
      <c r="I43" s="379"/>
      <c r="J43" s="379"/>
      <c r="K43" s="386"/>
    </row>
    <row r="44" spans="1:255" x14ac:dyDescent="0.2">
      <c r="A44" s="377"/>
      <c r="B44" s="379"/>
      <c r="C44" s="379"/>
      <c r="D44" s="379"/>
      <c r="E44" s="379"/>
      <c r="F44" s="379"/>
      <c r="G44" s="379"/>
      <c r="H44" s="379"/>
      <c r="I44" s="379"/>
      <c r="J44" s="379"/>
      <c r="K44" s="386"/>
    </row>
    <row r="45" spans="1:255" ht="13.5" thickBot="1" x14ac:dyDescent="0.25">
      <c r="A45" s="377"/>
      <c r="B45" s="379"/>
      <c r="C45" s="379"/>
      <c r="D45" s="379"/>
      <c r="E45" s="379"/>
      <c r="F45" s="379"/>
      <c r="G45" s="379"/>
      <c r="H45" s="379"/>
      <c r="I45" s="379"/>
      <c r="J45" s="379"/>
      <c r="K45" s="386"/>
    </row>
    <row r="46" spans="1:255" ht="13.5" thickBot="1" x14ac:dyDescent="0.25">
      <c r="A46" s="48">
        <v>1</v>
      </c>
      <c r="B46" s="48">
        <v>2</v>
      </c>
      <c r="C46" s="48">
        <v>3</v>
      </c>
      <c r="D46" s="48">
        <v>4</v>
      </c>
      <c r="E46" s="48">
        <v>5</v>
      </c>
      <c r="F46" s="48">
        <v>6</v>
      </c>
      <c r="G46" s="48">
        <v>7</v>
      </c>
      <c r="H46" s="48">
        <v>8</v>
      </c>
      <c r="I46" s="48">
        <v>9</v>
      </c>
      <c r="J46" s="48">
        <v>10</v>
      </c>
      <c r="K46" s="48">
        <v>11</v>
      </c>
    </row>
    <row r="47" spans="1:25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255" x14ac:dyDescent="0.2">
      <c r="A48" s="50"/>
      <c r="B48" s="50"/>
      <c r="C48" s="387" t="s">
        <v>16</v>
      </c>
      <c r="D48" s="387"/>
      <c r="E48" s="387"/>
      <c r="F48" s="387"/>
      <c r="G48" s="387"/>
      <c r="H48" s="387"/>
      <c r="I48" s="387"/>
      <c r="J48" s="387"/>
      <c r="K48" s="387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51" t="str">
        <f>C48</f>
        <v>Удаление насыпного грунта и срезка растительного грунта смотри ЛСР № 4.1.3.1; №4.1.3.2</v>
      </c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</row>
    <row r="49" spans="1:255" ht="13.5" thickBot="1" x14ac:dyDescent="0.25"/>
    <row r="50" spans="1:255" ht="48" x14ac:dyDescent="0.2">
      <c r="A50" s="52">
        <v>1</v>
      </c>
      <c r="B50" s="60" t="s">
        <v>18</v>
      </c>
      <c r="C50" s="53" t="s">
        <v>19</v>
      </c>
      <c r="D50" s="54" t="s">
        <v>20</v>
      </c>
      <c r="E50" s="55">
        <v>3.2006999999999999</v>
      </c>
      <c r="F50" s="56">
        <f>Source!AK26</f>
        <v>3167.12</v>
      </c>
      <c r="G50" s="61" t="s">
        <v>6</v>
      </c>
      <c r="H50" s="56"/>
      <c r="I50" s="57">
        <f>AM56</f>
        <v>11777</v>
      </c>
      <c r="J50" s="58" t="s">
        <v>18</v>
      </c>
      <c r="K50" s="59">
        <f>Source!S26+Source!Q26+Source!X26+Source!Y26+Source!GX26</f>
        <v>92547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</row>
    <row r="51" spans="1:255" x14ac:dyDescent="0.2">
      <c r="A51" s="63"/>
      <c r="B51" s="65" t="str">
        <f>IF(Source!I26=3.2007," Расчет объема","")</f>
        <v xml:space="preserve"> Расчет объема</v>
      </c>
      <c r="C51" s="65" t="str">
        <f>IF(Source!I26=3.2007,"   3200,7/1000 = 3,2007","")</f>
        <v xml:space="preserve">   3200,7/1000 = 3,2007</v>
      </c>
      <c r="D51" s="62"/>
      <c r="E51" s="62"/>
      <c r="F51" s="62"/>
      <c r="G51" s="62"/>
      <c r="H51" s="62"/>
      <c r="I51" s="62"/>
      <c r="J51" s="62"/>
      <c r="K51" s="64"/>
    </row>
    <row r="52" spans="1:255" x14ac:dyDescent="0.2">
      <c r="A52" s="68"/>
      <c r="B52" s="69"/>
      <c r="C52" s="69" t="s">
        <v>269</v>
      </c>
      <c r="D52" s="70"/>
      <c r="E52" s="71"/>
      <c r="F52" s="72">
        <v>3167.12</v>
      </c>
      <c r="G52" s="73"/>
      <c r="H52" s="72">
        <f>Source!AD26</f>
        <v>3167.12</v>
      </c>
      <c r="I52" s="74">
        <f>T52</f>
        <v>10137</v>
      </c>
      <c r="J52" s="75">
        <v>6.41</v>
      </c>
      <c r="K52" s="76">
        <f>U52</f>
        <v>64978</v>
      </c>
      <c r="O52" s="23"/>
      <c r="P52" s="23"/>
      <c r="Q52" s="23"/>
      <c r="R52" s="23"/>
      <c r="S52" s="23"/>
      <c r="T52" s="23">
        <f>ROUND(Source!AD26*Source!AV26*Source!I26,0)</f>
        <v>10137</v>
      </c>
      <c r="U52" s="23">
        <f>Source!Q26</f>
        <v>64978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>
        <f>T52</f>
        <v>10137</v>
      </c>
      <c r="AQ52" s="23"/>
      <c r="AR52" s="23">
        <f>U52</f>
        <v>64978</v>
      </c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>
        <v>1</v>
      </c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>
        <f>T52</f>
        <v>10137</v>
      </c>
      <c r="GK52" s="23"/>
      <c r="GL52" s="23">
        <f>T52</f>
        <v>10137</v>
      </c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>
        <f>T52</f>
        <v>10137</v>
      </c>
      <c r="HC52" s="23"/>
      <c r="HD52" s="23"/>
      <c r="HE52" s="23"/>
      <c r="HF52" s="23">
        <f>T52</f>
        <v>10137</v>
      </c>
      <c r="HG52" s="23"/>
      <c r="HH52" s="23"/>
      <c r="HI52" s="23"/>
      <c r="HJ52" s="23"/>
      <c r="HK52" s="23"/>
      <c r="HL52" s="23">
        <f>T52</f>
        <v>10137</v>
      </c>
      <c r="HM52" s="23"/>
      <c r="HN52" s="23">
        <f>T52</f>
        <v>10137</v>
      </c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</row>
    <row r="53" spans="1:255" x14ac:dyDescent="0.2">
      <c r="A53" s="68"/>
      <c r="B53" s="69"/>
      <c r="C53" s="69" t="s">
        <v>270</v>
      </c>
      <c r="D53" s="70"/>
      <c r="E53" s="71"/>
      <c r="F53" s="72">
        <v>353.32</v>
      </c>
      <c r="G53" s="73"/>
      <c r="H53" s="72">
        <f>Source!AE26</f>
        <v>353.32</v>
      </c>
      <c r="I53" s="74">
        <f>GM53</f>
        <v>1131</v>
      </c>
      <c r="J53" s="75">
        <v>18.329999999999998</v>
      </c>
      <c r="K53" s="76">
        <f>Source!R26</f>
        <v>20729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>
        <f>ROUND(Source!AE26*Source!AV26*Source!I26,0)</f>
        <v>1131</v>
      </c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>
        <f>GM53</f>
        <v>1131</v>
      </c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1:255" x14ac:dyDescent="0.2">
      <c r="A54" s="78"/>
      <c r="B54" s="79"/>
      <c r="C54" s="79" t="s">
        <v>271</v>
      </c>
      <c r="D54" s="80"/>
      <c r="E54" s="81">
        <v>95</v>
      </c>
      <c r="F54" s="82" t="s">
        <v>272</v>
      </c>
      <c r="G54" s="83"/>
      <c r="H54" s="84">
        <f>ROUND((Source!AF26*Source!AV26+Source!AE26*Source!AV26)*(Source!FX26)/100,2)</f>
        <v>335.65</v>
      </c>
      <c r="I54" s="85">
        <f>T54</f>
        <v>1074</v>
      </c>
      <c r="J54" s="87">
        <v>0.9</v>
      </c>
      <c r="K54" s="86">
        <f>U54</f>
        <v>18656</v>
      </c>
      <c r="O54" s="23"/>
      <c r="P54" s="23"/>
      <c r="Q54" s="23"/>
      <c r="R54" s="23"/>
      <c r="S54" s="23"/>
      <c r="T54" s="23">
        <f>ROUND((ROUND(Source!AF26*Source!AV26*Source!I26,0)+ROUND(Source!AE26*Source!AV26*Source!I26,0))*(Source!FX26)/100,0)</f>
        <v>1074</v>
      </c>
      <c r="U54" s="23">
        <f>Source!X26</f>
        <v>18656</v>
      </c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>
        <f>T54</f>
        <v>1074</v>
      </c>
      <c r="AQ54" s="23"/>
      <c r="AR54" s="23">
        <f>U54</f>
        <v>18656</v>
      </c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>
        <v>1</v>
      </c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>
        <f>T54</f>
        <v>1074</v>
      </c>
      <c r="GZ54" s="23"/>
      <c r="HA54" s="23"/>
      <c r="HB54" s="23">
        <f>T54</f>
        <v>1074</v>
      </c>
      <c r="HC54" s="23"/>
      <c r="HD54" s="23"/>
      <c r="HE54" s="23"/>
      <c r="HF54" s="23">
        <f>T54</f>
        <v>1074</v>
      </c>
      <c r="HG54" s="23"/>
      <c r="HH54" s="23"/>
      <c r="HI54" s="23"/>
      <c r="HJ54" s="23"/>
      <c r="HK54" s="23"/>
      <c r="HL54" s="23">
        <f>T54</f>
        <v>1074</v>
      </c>
      <c r="HM54" s="23"/>
      <c r="HN54" s="23">
        <f>T54</f>
        <v>1074</v>
      </c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</row>
    <row r="55" spans="1:255" ht="13.5" thickBot="1" x14ac:dyDescent="0.25">
      <c r="A55" s="90"/>
      <c r="B55" s="91"/>
      <c r="C55" s="91" t="s">
        <v>273</v>
      </c>
      <c r="D55" s="92"/>
      <c r="E55" s="93">
        <v>50</v>
      </c>
      <c r="F55" s="94" t="s">
        <v>272</v>
      </c>
      <c r="G55" s="95"/>
      <c r="H55" s="96">
        <f>ROUND((Source!AF26*Source!AV26+Source!AE26*Source!AV26)*(Source!FY26)/100,2)</f>
        <v>176.66</v>
      </c>
      <c r="I55" s="97">
        <f>T55</f>
        <v>566</v>
      </c>
      <c r="J55" s="98">
        <v>0.43</v>
      </c>
      <c r="K55" s="99">
        <f>U55</f>
        <v>8913</v>
      </c>
      <c r="O55" s="23"/>
      <c r="P55" s="23"/>
      <c r="Q55" s="23"/>
      <c r="R55" s="23"/>
      <c r="S55" s="23"/>
      <c r="T55" s="23">
        <f>ROUND((ROUND(Source!AF26*Source!AV26*Source!I26,0)+ROUND(Source!AE26*Source!AV26*Source!I26,0))*(Source!FY26)/100,0)</f>
        <v>566</v>
      </c>
      <c r="U55" s="23">
        <f>Source!Y26</f>
        <v>8913</v>
      </c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>
        <f>T55</f>
        <v>566</v>
      </c>
      <c r="AQ55" s="23"/>
      <c r="AR55" s="23">
        <f>U55</f>
        <v>8913</v>
      </c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>
        <v>1</v>
      </c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>
        <f>T55</f>
        <v>566</v>
      </c>
      <c r="HA55" s="23"/>
      <c r="HB55" s="23">
        <f>T55</f>
        <v>566</v>
      </c>
      <c r="HC55" s="23"/>
      <c r="HD55" s="23"/>
      <c r="HE55" s="23"/>
      <c r="HF55" s="23">
        <f>T55</f>
        <v>566</v>
      </c>
      <c r="HG55" s="23"/>
      <c r="HH55" s="23"/>
      <c r="HI55" s="23"/>
      <c r="HJ55" s="23"/>
      <c r="HK55" s="23"/>
      <c r="HL55" s="23">
        <f>T55</f>
        <v>566</v>
      </c>
      <c r="HM55" s="23"/>
      <c r="HN55" s="23">
        <f>T55</f>
        <v>566</v>
      </c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</row>
    <row r="56" spans="1:255" x14ac:dyDescent="0.2">
      <c r="A56" s="89"/>
      <c r="B56" s="88"/>
      <c r="C56" s="88" t="s">
        <v>274</v>
      </c>
      <c r="D56" s="88"/>
      <c r="E56" s="88"/>
      <c r="F56" s="88"/>
      <c r="G56" s="88"/>
      <c r="H56" s="382">
        <f>R56</f>
        <v>11777</v>
      </c>
      <c r="I56" s="383"/>
      <c r="J56" s="382">
        <f>S56</f>
        <v>92547</v>
      </c>
      <c r="K56" s="384"/>
      <c r="O56" s="23"/>
      <c r="P56" s="23"/>
      <c r="Q56" s="23"/>
      <c r="R56" s="23">
        <f>SUM(T50:T55)</f>
        <v>11777</v>
      </c>
      <c r="S56" s="23">
        <f>SUM(U50:U55)</f>
        <v>92547</v>
      </c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>
        <f>SUM(AP50:AP55)</f>
        <v>11777</v>
      </c>
      <c r="AN56" s="23">
        <f>SUM(AQ50:AQ55)</f>
        <v>0</v>
      </c>
      <c r="AO56" s="23">
        <f>SUM(AR50:AR55)</f>
        <v>92547</v>
      </c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>
        <f>R56</f>
        <v>11777</v>
      </c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</row>
    <row r="57" spans="1:255" x14ac:dyDescent="0.2">
      <c r="A57" s="67"/>
      <c r="B57" s="66"/>
      <c r="C57" s="66"/>
      <c r="D57" s="66"/>
      <c r="E57" s="66"/>
      <c r="F57" s="66"/>
      <c r="G57" s="66"/>
      <c r="H57" s="388"/>
      <c r="I57" s="389"/>
      <c r="J57" s="388"/>
      <c r="K57" s="390"/>
    </row>
    <row r="58" spans="1:255" ht="48" x14ac:dyDescent="0.2">
      <c r="A58" s="101">
        <v>2</v>
      </c>
      <c r="B58" s="109" t="s">
        <v>26</v>
      </c>
      <c r="C58" s="102" t="s">
        <v>27</v>
      </c>
      <c r="D58" s="103" t="s">
        <v>28</v>
      </c>
      <c r="E58" s="104">
        <v>5505.2039999999997</v>
      </c>
      <c r="F58" s="105">
        <f>Source!AK28</f>
        <v>2.98</v>
      </c>
      <c r="G58" s="110" t="s">
        <v>6</v>
      </c>
      <c r="H58" s="105"/>
      <c r="I58" s="106">
        <f>AM61</f>
        <v>16406</v>
      </c>
      <c r="J58" s="107"/>
      <c r="K58" s="108">
        <f>Source!S28+Source!Q28+Source!X28+Source!Y28+Source!GX28</f>
        <v>116807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</row>
    <row r="59" spans="1:255" x14ac:dyDescent="0.2">
      <c r="A59" s="63"/>
      <c r="B59" s="65" t="str">
        <f>IF(Source!I28=5505.204," Расчет объема","")</f>
        <v xml:space="preserve"> Расчет объема</v>
      </c>
      <c r="C59" s="65" t="str">
        <f>IF(Source!I28=5505.204,"   2240,49*1,75+960,21*1,65 = 5505,204","")</f>
        <v xml:space="preserve">   2240,49*1,75+960,21*1,65 = 5505,204</v>
      </c>
      <c r="D59" s="62"/>
      <c r="E59" s="62"/>
      <c r="F59" s="62"/>
      <c r="G59" s="62"/>
      <c r="H59" s="62"/>
      <c r="I59" s="62"/>
      <c r="J59" s="62"/>
      <c r="K59" s="64"/>
    </row>
    <row r="60" spans="1:255" ht="13.5" thickBot="1" x14ac:dyDescent="0.25">
      <c r="A60" s="111"/>
      <c r="B60" s="112"/>
      <c r="C60" s="112" t="s">
        <v>269</v>
      </c>
      <c r="D60" s="113"/>
      <c r="E60" s="114"/>
      <c r="F60" s="115">
        <v>2.98</v>
      </c>
      <c r="G60" s="116"/>
      <c r="H60" s="115">
        <f>Source!AD28</f>
        <v>2.98</v>
      </c>
      <c r="I60" s="117">
        <f>T60</f>
        <v>16406</v>
      </c>
      <c r="J60" s="118">
        <v>7.12</v>
      </c>
      <c r="K60" s="119">
        <f>U60</f>
        <v>116807</v>
      </c>
      <c r="O60" s="23"/>
      <c r="P60" s="23"/>
      <c r="Q60" s="23"/>
      <c r="R60" s="23"/>
      <c r="S60" s="23"/>
      <c r="T60" s="23">
        <f>ROUND(Source!AD28*Source!AV28*Source!I28,0)</f>
        <v>16406</v>
      </c>
      <c r="U60" s="23">
        <f>Source!Q28</f>
        <v>116807</v>
      </c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>
        <f>T60</f>
        <v>16406</v>
      </c>
      <c r="AQ60" s="23"/>
      <c r="AR60" s="23">
        <f>U60</f>
        <v>116807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>
        <v>1</v>
      </c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>
        <f>T60</f>
        <v>16406</v>
      </c>
      <c r="GK60" s="23"/>
      <c r="GL60" s="23">
        <f>T60</f>
        <v>16406</v>
      </c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>
        <f>T60</f>
        <v>16406</v>
      </c>
      <c r="HC60" s="23"/>
      <c r="HD60" s="23"/>
      <c r="HE60" s="23"/>
      <c r="HF60" s="23">
        <f>T60</f>
        <v>16406</v>
      </c>
      <c r="HG60" s="23"/>
      <c r="HH60" s="23"/>
      <c r="HI60" s="23"/>
      <c r="HJ60" s="23"/>
      <c r="HK60" s="23">
        <f>T60</f>
        <v>16406</v>
      </c>
      <c r="HL60" s="23"/>
      <c r="HM60" s="23">
        <f>T60</f>
        <v>16406</v>
      </c>
      <c r="HN60" s="23"/>
      <c r="HO60" s="23">
        <f>T60</f>
        <v>16406</v>
      </c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</row>
    <row r="61" spans="1:255" x14ac:dyDescent="0.2">
      <c r="A61" s="89"/>
      <c r="B61" s="88"/>
      <c r="C61" s="88" t="s">
        <v>274</v>
      </c>
      <c r="D61" s="88"/>
      <c r="E61" s="88"/>
      <c r="F61" s="88"/>
      <c r="G61" s="88"/>
      <c r="H61" s="382">
        <f>R61</f>
        <v>16406</v>
      </c>
      <c r="I61" s="383"/>
      <c r="J61" s="382">
        <f>S61</f>
        <v>116807</v>
      </c>
      <c r="K61" s="384"/>
      <c r="O61" s="23"/>
      <c r="P61" s="23"/>
      <c r="Q61" s="23"/>
      <c r="R61" s="23">
        <f>SUM(T58:T60)</f>
        <v>16406</v>
      </c>
      <c r="S61" s="23">
        <f>SUM(U58:U60)</f>
        <v>116807</v>
      </c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>
        <f>SUM(AP58:AP60)</f>
        <v>16406</v>
      </c>
      <c r="AN61" s="23">
        <f>SUM(AQ58:AQ60)</f>
        <v>0</v>
      </c>
      <c r="AO61" s="23">
        <f>SUM(AR58:AR60)</f>
        <v>116807</v>
      </c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>
        <f>R61</f>
        <v>16406</v>
      </c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</row>
    <row r="62" spans="1:255" x14ac:dyDescent="0.2">
      <c r="A62" s="67"/>
      <c r="B62" s="66"/>
      <c r="C62" s="66"/>
      <c r="D62" s="66"/>
      <c r="E62" s="66"/>
      <c r="F62" s="66"/>
      <c r="G62" s="66"/>
      <c r="H62" s="388"/>
      <c r="I62" s="389"/>
      <c r="J62" s="388"/>
      <c r="K62" s="390"/>
    </row>
    <row r="63" spans="1:255" ht="22.5" x14ac:dyDescent="0.2">
      <c r="A63" s="101">
        <v>3</v>
      </c>
      <c r="B63" s="109" t="s">
        <v>34</v>
      </c>
      <c r="C63" s="102" t="s">
        <v>35</v>
      </c>
      <c r="D63" s="103" t="s">
        <v>20</v>
      </c>
      <c r="E63" s="104">
        <v>3.2006999999999999</v>
      </c>
      <c r="F63" s="105">
        <f>Source!AK30</f>
        <v>394.84000000000003</v>
      </c>
      <c r="G63" s="110" t="s">
        <v>6</v>
      </c>
      <c r="H63" s="105"/>
      <c r="I63" s="106">
        <f>AM70</f>
        <v>1635</v>
      </c>
      <c r="J63" s="107" t="s">
        <v>34</v>
      </c>
      <c r="K63" s="108">
        <f>Source!S30+Source!Q30+Source!X30+Source!Y30+Source!GX30</f>
        <v>17065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</row>
    <row r="64" spans="1:255" x14ac:dyDescent="0.2">
      <c r="A64" s="120"/>
      <c r="B64" s="121"/>
      <c r="C64" s="121" t="s">
        <v>275</v>
      </c>
      <c r="D64" s="122"/>
      <c r="E64" s="123"/>
      <c r="F64" s="124">
        <v>28.73</v>
      </c>
      <c r="G64" s="125"/>
      <c r="H64" s="124">
        <f>Source!AF30</f>
        <v>28.73</v>
      </c>
      <c r="I64" s="126">
        <f>T64</f>
        <v>92</v>
      </c>
      <c r="J64" s="127">
        <v>25.33</v>
      </c>
      <c r="K64" s="128">
        <f>U64</f>
        <v>2329</v>
      </c>
      <c r="O64" s="23"/>
      <c r="P64" s="23"/>
      <c r="Q64" s="23"/>
      <c r="R64" s="23"/>
      <c r="S64" s="23"/>
      <c r="T64" s="23">
        <f>ROUND(Source!AF30*Source!AV30*Source!I30,0)</f>
        <v>92</v>
      </c>
      <c r="U64" s="23">
        <f>Source!S30</f>
        <v>2329</v>
      </c>
      <c r="V64" s="23">
        <f>Source!S30</f>
        <v>2329</v>
      </c>
      <c r="W64" s="23"/>
      <c r="X64" s="23"/>
      <c r="Y64" s="23">
        <v>1010</v>
      </c>
      <c r="Z64" s="23">
        <v>1010.1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>
        <f>T64</f>
        <v>92</v>
      </c>
      <c r="AQ64" s="23"/>
      <c r="AR64" s="23">
        <f>U64</f>
        <v>2329</v>
      </c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>
        <v>1</v>
      </c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>
        <f>T64</f>
        <v>92</v>
      </c>
      <c r="GK64" s="23">
        <f>T64</f>
        <v>92</v>
      </c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>
        <f>T64</f>
        <v>92</v>
      </c>
      <c r="HC64" s="23"/>
      <c r="HD64" s="23"/>
      <c r="HE64" s="23"/>
      <c r="HF64" s="23">
        <f>T64</f>
        <v>92</v>
      </c>
      <c r="HG64" s="23"/>
      <c r="HH64" s="23"/>
      <c r="HI64" s="23"/>
      <c r="HJ64" s="23"/>
      <c r="HK64" s="23"/>
      <c r="HL64" s="23">
        <f>T64</f>
        <v>92</v>
      </c>
      <c r="HM64" s="23"/>
      <c r="HN64" s="23">
        <f>T64</f>
        <v>92</v>
      </c>
      <c r="HO64" s="23"/>
      <c r="HP64" s="23"/>
      <c r="HQ64" s="23"/>
      <c r="HR64" s="23"/>
      <c r="HS64" s="23"/>
      <c r="HT64" s="23"/>
      <c r="HU64" s="23"/>
      <c r="HV64" s="23"/>
      <c r="HW64" s="23"/>
      <c r="HX64" s="23">
        <f>T64</f>
        <v>92</v>
      </c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</row>
    <row r="65" spans="1:255" x14ac:dyDescent="0.2">
      <c r="A65" s="68"/>
      <c r="B65" s="69"/>
      <c r="C65" s="69" t="s">
        <v>269</v>
      </c>
      <c r="D65" s="70"/>
      <c r="E65" s="71"/>
      <c r="F65" s="72">
        <v>361.75</v>
      </c>
      <c r="G65" s="73"/>
      <c r="H65" s="72">
        <f>Source!AD30</f>
        <v>361.75</v>
      </c>
      <c r="I65" s="74">
        <f>T65</f>
        <v>1158</v>
      </c>
      <c r="J65" s="75">
        <v>6.41</v>
      </c>
      <c r="K65" s="76">
        <f>U65</f>
        <v>7422</v>
      </c>
      <c r="O65" s="23"/>
      <c r="P65" s="23"/>
      <c r="Q65" s="23"/>
      <c r="R65" s="23"/>
      <c r="S65" s="23"/>
      <c r="T65" s="23">
        <f>ROUND(Source!AD30*Source!AV30*Source!I30,0)</f>
        <v>1158</v>
      </c>
      <c r="U65" s="23">
        <f>Source!Q30</f>
        <v>7422</v>
      </c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>
        <f>T65</f>
        <v>1158</v>
      </c>
      <c r="AQ65" s="23"/>
      <c r="AR65" s="23">
        <f>U65</f>
        <v>7422</v>
      </c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>
        <v>1</v>
      </c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>
        <f>T65</f>
        <v>1158</v>
      </c>
      <c r="GK65" s="23"/>
      <c r="GL65" s="23">
        <f>T65</f>
        <v>1158</v>
      </c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>
        <f>T65</f>
        <v>1158</v>
      </c>
      <c r="HC65" s="23"/>
      <c r="HD65" s="23"/>
      <c r="HE65" s="23"/>
      <c r="HF65" s="23">
        <f>T65</f>
        <v>1158</v>
      </c>
      <c r="HG65" s="23"/>
      <c r="HH65" s="23"/>
      <c r="HI65" s="23"/>
      <c r="HJ65" s="23"/>
      <c r="HK65" s="23"/>
      <c r="HL65" s="23">
        <f>T65</f>
        <v>1158</v>
      </c>
      <c r="HM65" s="23"/>
      <c r="HN65" s="23">
        <f>T65</f>
        <v>1158</v>
      </c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</row>
    <row r="66" spans="1:255" x14ac:dyDescent="0.2">
      <c r="A66" s="68"/>
      <c r="B66" s="69"/>
      <c r="C66" s="69" t="s">
        <v>270</v>
      </c>
      <c r="D66" s="70"/>
      <c r="E66" s="71"/>
      <c r="F66" s="72">
        <v>54.03</v>
      </c>
      <c r="G66" s="73"/>
      <c r="H66" s="72">
        <f>Source!AE30</f>
        <v>54.03</v>
      </c>
      <c r="I66" s="74">
        <f>GM66</f>
        <v>173</v>
      </c>
      <c r="J66" s="75">
        <v>18.329999999999998</v>
      </c>
      <c r="K66" s="76">
        <f>Source!R30</f>
        <v>3170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>
        <f>ROUND(Source!AE30*Source!AV30*Source!I30,0)</f>
        <v>173</v>
      </c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>
        <f>GM66</f>
        <v>173</v>
      </c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</row>
    <row r="67" spans="1:255" x14ac:dyDescent="0.2">
      <c r="A67" s="78"/>
      <c r="B67" s="79"/>
      <c r="C67" s="79" t="s">
        <v>271</v>
      </c>
      <c r="D67" s="80"/>
      <c r="E67" s="81">
        <v>95</v>
      </c>
      <c r="F67" s="82" t="s">
        <v>272</v>
      </c>
      <c r="G67" s="83"/>
      <c r="H67" s="84">
        <f>ROUND((Source!AF30*Source!AV30+Source!AE30*Source!AV30)*(Source!FX30)/100,2)</f>
        <v>78.62</v>
      </c>
      <c r="I67" s="85">
        <f>T67</f>
        <v>252</v>
      </c>
      <c r="J67" s="87">
        <v>0.9</v>
      </c>
      <c r="K67" s="86">
        <f>U67</f>
        <v>4949</v>
      </c>
      <c r="O67" s="23"/>
      <c r="P67" s="23"/>
      <c r="Q67" s="23"/>
      <c r="R67" s="23"/>
      <c r="S67" s="23"/>
      <c r="T67" s="23">
        <f>ROUND((ROUND(Source!AF30*Source!AV30*Source!I30,0)+ROUND(Source!AE30*Source!AV30*Source!I30,0))*(Source!FX30)/100,0)</f>
        <v>252</v>
      </c>
      <c r="U67" s="23">
        <f>Source!X30</f>
        <v>4949</v>
      </c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>
        <f>T67</f>
        <v>252</v>
      </c>
      <c r="AQ67" s="23"/>
      <c r="AR67" s="23">
        <f>U67</f>
        <v>4949</v>
      </c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>
        <v>1</v>
      </c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>
        <f>T67</f>
        <v>252</v>
      </c>
      <c r="GZ67" s="23"/>
      <c r="HA67" s="23"/>
      <c r="HB67" s="23">
        <f>T67</f>
        <v>252</v>
      </c>
      <c r="HC67" s="23"/>
      <c r="HD67" s="23"/>
      <c r="HE67" s="23"/>
      <c r="HF67" s="23">
        <f>T67</f>
        <v>252</v>
      </c>
      <c r="HG67" s="23"/>
      <c r="HH67" s="23"/>
      <c r="HI67" s="23"/>
      <c r="HJ67" s="23"/>
      <c r="HK67" s="23"/>
      <c r="HL67" s="23">
        <f>T67</f>
        <v>252</v>
      </c>
      <c r="HM67" s="23"/>
      <c r="HN67" s="23">
        <f>T67</f>
        <v>252</v>
      </c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</row>
    <row r="68" spans="1:255" x14ac:dyDescent="0.2">
      <c r="A68" s="78"/>
      <c r="B68" s="79"/>
      <c r="C68" s="79" t="s">
        <v>273</v>
      </c>
      <c r="D68" s="80"/>
      <c r="E68" s="81">
        <v>50</v>
      </c>
      <c r="F68" s="82" t="s">
        <v>272</v>
      </c>
      <c r="G68" s="83"/>
      <c r="H68" s="84">
        <f>ROUND((Source!AF30*Source!AV30+Source!AE30*Source!AV30)*(Source!FY30)/100,2)</f>
        <v>41.38</v>
      </c>
      <c r="I68" s="85">
        <f>T68</f>
        <v>133</v>
      </c>
      <c r="J68" s="87">
        <v>0.43</v>
      </c>
      <c r="K68" s="86">
        <f>U68</f>
        <v>2365</v>
      </c>
      <c r="O68" s="23"/>
      <c r="P68" s="23"/>
      <c r="Q68" s="23"/>
      <c r="R68" s="23"/>
      <c r="S68" s="23"/>
      <c r="T68" s="23">
        <f>ROUND((ROUND(Source!AF30*Source!AV30*Source!I30,0)+ROUND(Source!AE30*Source!AV30*Source!I30,0))*(Source!FY30)/100,0)</f>
        <v>133</v>
      </c>
      <c r="U68" s="23">
        <f>Source!Y30</f>
        <v>2365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>
        <f>T68</f>
        <v>133</v>
      </c>
      <c r="AQ68" s="23"/>
      <c r="AR68" s="23">
        <f>U68</f>
        <v>2365</v>
      </c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>
        <v>1</v>
      </c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>
        <f>T68</f>
        <v>133</v>
      </c>
      <c r="HA68" s="23"/>
      <c r="HB68" s="23">
        <f>T68</f>
        <v>133</v>
      </c>
      <c r="HC68" s="23"/>
      <c r="HD68" s="23"/>
      <c r="HE68" s="23"/>
      <c r="HF68" s="23">
        <f>T68</f>
        <v>133</v>
      </c>
      <c r="HG68" s="23"/>
      <c r="HH68" s="23"/>
      <c r="HI68" s="23"/>
      <c r="HJ68" s="23"/>
      <c r="HK68" s="23"/>
      <c r="HL68" s="23">
        <f>T68</f>
        <v>133</v>
      </c>
      <c r="HM68" s="23"/>
      <c r="HN68" s="23">
        <f>T68</f>
        <v>133</v>
      </c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</row>
    <row r="69" spans="1:255" ht="13.5" thickBot="1" x14ac:dyDescent="0.25">
      <c r="A69" s="111"/>
      <c r="B69" s="112"/>
      <c r="C69" s="112" t="s">
        <v>276</v>
      </c>
      <c r="D69" s="113" t="s">
        <v>277</v>
      </c>
      <c r="E69" s="114">
        <v>3.65</v>
      </c>
      <c r="F69" s="115"/>
      <c r="G69" s="116"/>
      <c r="H69" s="115">
        <f>ROUND(Source!AH30,2)</f>
        <v>3.65</v>
      </c>
      <c r="I69" s="129">
        <f>Source!U30</f>
        <v>11.682554999999999</v>
      </c>
      <c r="J69" s="118"/>
      <c r="K69" s="119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</row>
    <row r="70" spans="1:255" x14ac:dyDescent="0.2">
      <c r="A70" s="89"/>
      <c r="B70" s="88"/>
      <c r="C70" s="88" t="s">
        <v>274</v>
      </c>
      <c r="D70" s="88"/>
      <c r="E70" s="88"/>
      <c r="F70" s="88"/>
      <c r="G70" s="88"/>
      <c r="H70" s="382">
        <f>R70</f>
        <v>1635</v>
      </c>
      <c r="I70" s="383"/>
      <c r="J70" s="382">
        <f>S70</f>
        <v>17065</v>
      </c>
      <c r="K70" s="384"/>
      <c r="O70" s="23"/>
      <c r="P70" s="23"/>
      <c r="Q70" s="23"/>
      <c r="R70" s="23">
        <f>SUM(T63:T69)</f>
        <v>1635</v>
      </c>
      <c r="S70" s="23">
        <f>SUM(U63:U69)</f>
        <v>17065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>
        <f>SUM(AP63:AP69)</f>
        <v>1635</v>
      </c>
      <c r="AN70" s="23">
        <f>SUM(AQ63:AQ69)</f>
        <v>0</v>
      </c>
      <c r="AO70" s="23">
        <f>SUM(AR63:AR69)</f>
        <v>17065</v>
      </c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>
        <f>R70</f>
        <v>1635</v>
      </c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</row>
    <row r="71" spans="1:255" x14ac:dyDescent="0.2">
      <c r="A71" s="67"/>
      <c r="B71" s="66"/>
      <c r="C71" s="66"/>
      <c r="D71" s="66"/>
      <c r="E71" s="66"/>
      <c r="F71" s="66"/>
      <c r="G71" s="66"/>
      <c r="H71" s="388"/>
      <c r="I71" s="389"/>
      <c r="J71" s="388"/>
      <c r="K71" s="390"/>
    </row>
    <row r="72" spans="1:255" ht="36" x14ac:dyDescent="0.2">
      <c r="A72" s="101">
        <v>4</v>
      </c>
      <c r="B72" s="109" t="s">
        <v>38</v>
      </c>
      <c r="C72" s="102" t="s">
        <v>278</v>
      </c>
      <c r="D72" s="103" t="s">
        <v>40</v>
      </c>
      <c r="E72" s="104">
        <v>1.4420999999999999</v>
      </c>
      <c r="F72" s="105">
        <f>Source!AK32</f>
        <v>1211.98</v>
      </c>
      <c r="G72" s="110" t="s">
        <v>6</v>
      </c>
      <c r="H72" s="105"/>
      <c r="I72" s="106">
        <f>AM78</f>
        <v>4719</v>
      </c>
      <c r="J72" s="107" t="s">
        <v>38</v>
      </c>
      <c r="K72" s="108">
        <f>Source!S32+Source!Q32+Source!X32+Source!Y32+Source!GX32</f>
        <v>113690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</row>
    <row r="73" spans="1:255" x14ac:dyDescent="0.2">
      <c r="A73" s="63"/>
      <c r="B73" s="65" t="str">
        <f>IF(Source!I32=1.4421," Расчет объема","")</f>
        <v xml:space="preserve"> Расчет объема</v>
      </c>
      <c r="C73" s="65" t="str">
        <f>IF(Source!I32=1.4421,"   144,21/100 = 1,4421","")</f>
        <v xml:space="preserve">   144,21/100 = 1,4421</v>
      </c>
      <c r="D73" s="62"/>
      <c r="E73" s="62"/>
      <c r="F73" s="62"/>
      <c r="G73" s="62"/>
      <c r="H73" s="62"/>
      <c r="I73" s="62"/>
      <c r="J73" s="62"/>
      <c r="K73" s="64"/>
    </row>
    <row r="74" spans="1:255" x14ac:dyDescent="0.2">
      <c r="A74" s="68"/>
      <c r="B74" s="69"/>
      <c r="C74" s="69" t="s">
        <v>275</v>
      </c>
      <c r="D74" s="70"/>
      <c r="E74" s="71"/>
      <c r="F74" s="72">
        <v>1211.98</v>
      </c>
      <c r="G74" s="73" t="s">
        <v>279</v>
      </c>
      <c r="H74" s="72">
        <f>Source!AF32</f>
        <v>1454.38</v>
      </c>
      <c r="I74" s="74">
        <f>T74</f>
        <v>2097</v>
      </c>
      <c r="J74" s="75">
        <v>25.33</v>
      </c>
      <c r="K74" s="76">
        <f>U74</f>
        <v>53126</v>
      </c>
      <c r="O74" s="23"/>
      <c r="P74" s="23"/>
      <c r="Q74" s="23"/>
      <c r="R74" s="23"/>
      <c r="S74" s="23"/>
      <c r="T74" s="23">
        <f>ROUND(Source!AF32*Source!AV32*Source!I32,0)</f>
        <v>2097</v>
      </c>
      <c r="U74" s="23">
        <f>Source!S32</f>
        <v>53126</v>
      </c>
      <c r="V74" s="23">
        <f>Source!S32</f>
        <v>53126</v>
      </c>
      <c r="W74" s="23"/>
      <c r="X74" s="23"/>
      <c r="Y74" s="23">
        <v>1010</v>
      </c>
      <c r="Z74" s="23">
        <v>1010.2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>
        <f>T74</f>
        <v>2097</v>
      </c>
      <c r="AQ74" s="23"/>
      <c r="AR74" s="23">
        <f>U74</f>
        <v>53126</v>
      </c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>
        <v>1</v>
      </c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>
        <f>T74</f>
        <v>2097</v>
      </c>
      <c r="GK74" s="23">
        <f>T74</f>
        <v>2097</v>
      </c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>
        <f>T74</f>
        <v>2097</v>
      </c>
      <c r="HC74" s="23"/>
      <c r="HD74" s="23"/>
      <c r="HE74" s="23"/>
      <c r="HF74" s="23">
        <f>T74</f>
        <v>2097</v>
      </c>
      <c r="HG74" s="23"/>
      <c r="HH74" s="23"/>
      <c r="HI74" s="23"/>
      <c r="HJ74" s="23"/>
      <c r="HK74" s="23"/>
      <c r="HL74" s="23">
        <f>T74</f>
        <v>2097</v>
      </c>
      <c r="HM74" s="23"/>
      <c r="HN74" s="23">
        <f>T74</f>
        <v>2097</v>
      </c>
      <c r="HO74" s="23"/>
      <c r="HP74" s="23"/>
      <c r="HQ74" s="23"/>
      <c r="HR74" s="23"/>
      <c r="HS74" s="23"/>
      <c r="HT74" s="23"/>
      <c r="HU74" s="23"/>
      <c r="HV74" s="23"/>
      <c r="HW74" s="23"/>
      <c r="HX74" s="23">
        <f>T74</f>
        <v>2097</v>
      </c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</row>
    <row r="75" spans="1:255" x14ac:dyDescent="0.2">
      <c r="A75" s="78"/>
      <c r="B75" s="79"/>
      <c r="C75" s="79" t="s">
        <v>271</v>
      </c>
      <c r="D75" s="80"/>
      <c r="E75" s="81">
        <v>80</v>
      </c>
      <c r="F75" s="82" t="s">
        <v>272</v>
      </c>
      <c r="G75" s="83"/>
      <c r="H75" s="84">
        <f>ROUND((Source!AF32*Source!AV32+Source!AE32*Source!AV32)*(Source!FX32)/100,2)</f>
        <v>1163.5</v>
      </c>
      <c r="I75" s="85">
        <f>T75</f>
        <v>1678</v>
      </c>
      <c r="J75" s="87">
        <v>0.76</v>
      </c>
      <c r="K75" s="86">
        <f>U75</f>
        <v>40376</v>
      </c>
      <c r="O75" s="23"/>
      <c r="P75" s="23"/>
      <c r="Q75" s="23"/>
      <c r="R75" s="23"/>
      <c r="S75" s="23"/>
      <c r="T75" s="23">
        <f>ROUND((ROUND(Source!AF32*Source!AV32*Source!I32,0)+ROUND(Source!AE32*Source!AV32*Source!I32,0))*(Source!FX32)/100,0)</f>
        <v>1678</v>
      </c>
      <c r="U75" s="23">
        <f>Source!X32</f>
        <v>40376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>
        <f>T75</f>
        <v>1678</v>
      </c>
      <c r="AQ75" s="23"/>
      <c r="AR75" s="23">
        <f>U75</f>
        <v>40376</v>
      </c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>
        <v>1</v>
      </c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>
        <f>T75</f>
        <v>1678</v>
      </c>
      <c r="GZ75" s="23"/>
      <c r="HA75" s="23"/>
      <c r="HB75" s="23">
        <f>T75</f>
        <v>1678</v>
      </c>
      <c r="HC75" s="23"/>
      <c r="HD75" s="23"/>
      <c r="HE75" s="23"/>
      <c r="HF75" s="23">
        <f>T75</f>
        <v>1678</v>
      </c>
      <c r="HG75" s="23"/>
      <c r="HH75" s="23"/>
      <c r="HI75" s="23"/>
      <c r="HJ75" s="23"/>
      <c r="HK75" s="23"/>
      <c r="HL75" s="23">
        <f>T75</f>
        <v>1678</v>
      </c>
      <c r="HM75" s="23"/>
      <c r="HN75" s="23">
        <f>T75</f>
        <v>1678</v>
      </c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</row>
    <row r="76" spans="1:255" x14ac:dyDescent="0.2">
      <c r="A76" s="78"/>
      <c r="B76" s="79"/>
      <c r="C76" s="79" t="s">
        <v>273</v>
      </c>
      <c r="D76" s="80"/>
      <c r="E76" s="81">
        <v>45</v>
      </c>
      <c r="F76" s="82" t="s">
        <v>272</v>
      </c>
      <c r="G76" s="83"/>
      <c r="H76" s="84">
        <f>ROUND((Source!AF32*Source!AV32+Source!AE32*Source!AV32)*(Source!FY32)/100,2)</f>
        <v>654.47</v>
      </c>
      <c r="I76" s="85">
        <f>T76</f>
        <v>944</v>
      </c>
      <c r="J76" s="87">
        <v>0.38</v>
      </c>
      <c r="K76" s="86">
        <f>U76</f>
        <v>20188</v>
      </c>
      <c r="O76" s="23"/>
      <c r="P76" s="23"/>
      <c r="Q76" s="23"/>
      <c r="R76" s="23"/>
      <c r="S76" s="23"/>
      <c r="T76" s="23">
        <f>ROUND((ROUND(Source!AF32*Source!AV32*Source!I32,0)+ROUND(Source!AE32*Source!AV32*Source!I32,0))*(Source!FY32)/100,0)</f>
        <v>944</v>
      </c>
      <c r="U76" s="23">
        <f>Source!Y32</f>
        <v>20188</v>
      </c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>
        <f>T76</f>
        <v>944</v>
      </c>
      <c r="AQ76" s="23"/>
      <c r="AR76" s="23">
        <f>U76</f>
        <v>20188</v>
      </c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>
        <v>1</v>
      </c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>
        <f>T76</f>
        <v>944</v>
      </c>
      <c r="HA76" s="23"/>
      <c r="HB76" s="23">
        <f>T76</f>
        <v>944</v>
      </c>
      <c r="HC76" s="23"/>
      <c r="HD76" s="23"/>
      <c r="HE76" s="23"/>
      <c r="HF76" s="23">
        <f>T76</f>
        <v>944</v>
      </c>
      <c r="HG76" s="23"/>
      <c r="HH76" s="23"/>
      <c r="HI76" s="23"/>
      <c r="HJ76" s="23"/>
      <c r="HK76" s="23"/>
      <c r="HL76" s="23">
        <f>T76</f>
        <v>944</v>
      </c>
      <c r="HM76" s="23"/>
      <c r="HN76" s="23">
        <f>T76</f>
        <v>944</v>
      </c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</row>
    <row r="77" spans="1:255" ht="13.5" thickBot="1" x14ac:dyDescent="0.25">
      <c r="A77" s="111"/>
      <c r="B77" s="112"/>
      <c r="C77" s="112" t="s">
        <v>276</v>
      </c>
      <c r="D77" s="113" t="s">
        <v>277</v>
      </c>
      <c r="E77" s="114">
        <v>154</v>
      </c>
      <c r="F77" s="115"/>
      <c r="G77" s="116" t="s">
        <v>279</v>
      </c>
      <c r="H77" s="115">
        <f>ROUND(Source!AH32,2)</f>
        <v>184.8</v>
      </c>
      <c r="I77" s="129">
        <f>Source!U32</f>
        <v>266.50007999999997</v>
      </c>
      <c r="J77" s="118"/>
      <c r="K77" s="119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</row>
    <row r="78" spans="1:255" x14ac:dyDescent="0.2">
      <c r="A78" s="89"/>
      <c r="B78" s="88"/>
      <c r="C78" s="88" t="s">
        <v>274</v>
      </c>
      <c r="D78" s="88"/>
      <c r="E78" s="88"/>
      <c r="F78" s="88"/>
      <c r="G78" s="88"/>
      <c r="H78" s="382">
        <f>R78</f>
        <v>4719</v>
      </c>
      <c r="I78" s="383"/>
      <c r="J78" s="382">
        <f>S78</f>
        <v>113690</v>
      </c>
      <c r="K78" s="384"/>
      <c r="O78" s="23"/>
      <c r="P78" s="23"/>
      <c r="Q78" s="23"/>
      <c r="R78" s="23">
        <f>SUM(T72:T77)</f>
        <v>4719</v>
      </c>
      <c r="S78" s="23">
        <f>SUM(U72:U77)</f>
        <v>113690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>
        <f>SUM(AP72:AP77)</f>
        <v>4719</v>
      </c>
      <c r="AN78" s="23">
        <f>SUM(AQ72:AQ77)</f>
        <v>0</v>
      </c>
      <c r="AO78" s="23">
        <f>SUM(AR72:AR77)</f>
        <v>113690</v>
      </c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>
        <f>R78</f>
        <v>4719</v>
      </c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</row>
    <row r="79" spans="1:255" ht="13.5" thickBot="1" x14ac:dyDescent="0.25">
      <c r="A79" s="67"/>
      <c r="B79" s="66"/>
      <c r="C79" s="66"/>
      <c r="D79" s="66"/>
      <c r="E79" s="66"/>
      <c r="F79" s="66"/>
      <c r="G79" s="66"/>
      <c r="H79" s="388"/>
      <c r="I79" s="389"/>
      <c r="J79" s="388"/>
      <c r="K79" s="390"/>
    </row>
    <row r="80" spans="1:255" x14ac:dyDescent="0.2">
      <c r="A80" s="130"/>
      <c r="B80" s="130"/>
      <c r="C80" s="131" t="s">
        <v>280</v>
      </c>
      <c r="D80" s="131"/>
      <c r="E80" s="131"/>
      <c r="F80" s="131"/>
      <c r="G80" s="131"/>
      <c r="H80" s="131"/>
      <c r="I80" s="132">
        <f>FM80</f>
        <v>34537</v>
      </c>
      <c r="J80" s="131"/>
      <c r="K80" s="132">
        <f>DP80</f>
        <v>340109</v>
      </c>
      <c r="P80" s="23">
        <f>SUM(R47:R79)</f>
        <v>34537</v>
      </c>
      <c r="Q80" s="23">
        <f>SUM(S47:S79)</f>
        <v>340109</v>
      </c>
      <c r="R80" s="23"/>
      <c r="S80" s="23"/>
      <c r="T80" s="23"/>
      <c r="U80" s="23"/>
      <c r="V80" s="23"/>
      <c r="W80" s="23"/>
      <c r="AY80">
        <f t="shared" ref="AY80:BD80" si="0">SUM(AS47:AS79)</f>
        <v>0</v>
      </c>
      <c r="AZ80">
        <f t="shared" si="0"/>
        <v>0</v>
      </c>
      <c r="BA80">
        <f t="shared" si="0"/>
        <v>0</v>
      </c>
      <c r="BB80">
        <f t="shared" si="0"/>
        <v>0</v>
      </c>
      <c r="BC80">
        <f t="shared" si="0"/>
        <v>0</v>
      </c>
      <c r="BD80">
        <f t="shared" si="0"/>
        <v>0</v>
      </c>
      <c r="BE80">
        <f>SUMIF(CV47:CV79,1,AV47:AV79)</f>
        <v>0</v>
      </c>
      <c r="BF80">
        <f>SUMIF(CV47:CV79,2,AV47:AV79)</f>
        <v>0</v>
      </c>
      <c r="BG80">
        <f>SUMIF(CV47:CV79,5,AV47:AV79)</f>
        <v>0</v>
      </c>
      <c r="BH80">
        <f>SUMIF(CV47:CV79,4,AV47:AV79)</f>
        <v>0</v>
      </c>
      <c r="BI80">
        <f>SUMIF(CV47:CV79,1,AW47:AW79)</f>
        <v>0</v>
      </c>
      <c r="BJ80">
        <f>SUMIF(CV47:CV79,2,AW47:AW79)</f>
        <v>0</v>
      </c>
      <c r="BK80">
        <f>SUMIF(CV47:CV79,5,AW47:AW79)</f>
        <v>0</v>
      </c>
      <c r="BL80">
        <f>SUMIF(CV47:CV79,4,AW47:AW79)</f>
        <v>0</v>
      </c>
      <c r="BM80">
        <f>SUMIF(CV47:CV79,1,AX47:AX79)</f>
        <v>0</v>
      </c>
      <c r="BN80">
        <f>SUMIF(CV47:CV79,2,AX47:AX79)</f>
        <v>0</v>
      </c>
      <c r="BO80">
        <f>SUMIF(CV47:CV79,5,AX47:AX79)</f>
        <v>0</v>
      </c>
      <c r="BP80">
        <f>SUMIF(CV47:CV79,4,AX47:AX79)</f>
        <v>0</v>
      </c>
      <c r="CF80">
        <f>SUMIF(Y47:Y79,1001,V47:V79)</f>
        <v>0</v>
      </c>
      <c r="CG80">
        <f>SUMIF(Y47:Y79,1002,V47:V79)</f>
        <v>0</v>
      </c>
      <c r="CH80">
        <f>SUMIF(Y47:Y79,1003,V47:V79)</f>
        <v>0</v>
      </c>
      <c r="CI80">
        <f>SUMIF(Y47:Y79,1004,V47:V79)</f>
        <v>0</v>
      </c>
      <c r="CJ80">
        <f>SUMIF(Y47:Y79,1005,V47:V79)</f>
        <v>0</v>
      </c>
      <c r="CK80">
        <f>SUMIF(Y47:Y79,1006,V47:V79)</f>
        <v>0</v>
      </c>
      <c r="CL80">
        <f>SUMIF(Y47:Y79,1007,V47:V79)</f>
        <v>0</v>
      </c>
      <c r="CM80">
        <f>SUMIF(Y47:Y79,1008,V47:V79)</f>
        <v>0</v>
      </c>
      <c r="CN80">
        <f>SUMIF(Y47:Y79,1009,V47:V79)</f>
        <v>0</v>
      </c>
      <c r="CO80">
        <f>SUMIF(Y47:Y79,1010,V47:V79)</f>
        <v>55455</v>
      </c>
      <c r="CP80">
        <f>SUMIF(Y47:Y79,1011,V47:V79)</f>
        <v>0</v>
      </c>
      <c r="CQ80">
        <f>SUMIF(Y47:Y79,1012,V47:V79)</f>
        <v>0</v>
      </c>
      <c r="CR80">
        <f>SUMIF(Y47:Y79,1013,V47:V79)</f>
        <v>0</v>
      </c>
      <c r="CS80">
        <f>SUMIF(Y47:Y79,1014,V47:V79)</f>
        <v>0</v>
      </c>
      <c r="CT80">
        <f>SUMIF(Y47:Y79,1015,V47:V79)</f>
        <v>0</v>
      </c>
      <c r="CU80">
        <f>SUMIF(Y47:Y79,1,V47:V79)</f>
        <v>0</v>
      </c>
      <c r="CW80">
        <f>Source!DM34</f>
        <v>278.18263499999995</v>
      </c>
      <c r="CX80">
        <f>Source!DN34</f>
        <v>95.796950999999993</v>
      </c>
      <c r="CY80">
        <f>Source!DG34</f>
        <v>244662</v>
      </c>
      <c r="CZ80">
        <f>Source!DK34</f>
        <v>55455</v>
      </c>
      <c r="DA80">
        <f>Source!DI34</f>
        <v>189207</v>
      </c>
      <c r="DB80">
        <f>Source!DJ34</f>
        <v>23899</v>
      </c>
      <c r="DC80">
        <f>Source!DH34</f>
        <v>0</v>
      </c>
      <c r="DD80">
        <f>Source!EG34</f>
        <v>0</v>
      </c>
      <c r="DE80">
        <f>Source!EN34</f>
        <v>0</v>
      </c>
      <c r="DF80">
        <f>Source!EO34</f>
        <v>0</v>
      </c>
      <c r="DG80">
        <f>Source!EP34</f>
        <v>0</v>
      </c>
      <c r="DH80">
        <f>Source!EQ34</f>
        <v>0</v>
      </c>
      <c r="DI80">
        <f>Source!EH34</f>
        <v>0</v>
      </c>
      <c r="DJ80">
        <f>Source!EI34</f>
        <v>0</v>
      </c>
      <c r="DK80">
        <f>Source!ER34</f>
        <v>0</v>
      </c>
      <c r="DL80">
        <f>Source!DL34</f>
        <v>0</v>
      </c>
      <c r="DM80">
        <f>Source!DO34</f>
        <v>0</v>
      </c>
      <c r="DN80">
        <f>Source!DP34</f>
        <v>63981</v>
      </c>
      <c r="DO80">
        <f>Source!DQ34</f>
        <v>31466</v>
      </c>
      <c r="DP80">
        <f>Source!EJ34</f>
        <v>340109</v>
      </c>
      <c r="DQ80">
        <f>Source!EK34</f>
        <v>340109</v>
      </c>
      <c r="DR80">
        <f>Source!EL34</f>
        <v>0</v>
      </c>
      <c r="DS80">
        <f>Source!EH34</f>
        <v>0</v>
      </c>
      <c r="DT80">
        <f>Source!EM34</f>
        <v>0</v>
      </c>
      <c r="DU80">
        <f>Source!EK34+Source!EL34</f>
        <v>340109</v>
      </c>
      <c r="DW80">
        <f>Source!ES34</f>
        <v>0</v>
      </c>
      <c r="DX80">
        <f>Source!ET34</f>
        <v>0</v>
      </c>
      <c r="DY80">
        <f>Source!EU34</f>
        <v>0</v>
      </c>
      <c r="DZ80">
        <f>Source!EV34</f>
        <v>116807</v>
      </c>
      <c r="EC80">
        <f>SUMIF(Y47:Y79,1001,GK47:GK79)</f>
        <v>0</v>
      </c>
      <c r="ED80">
        <f>SUMIF(Y47:Y79,1002,GK47:GK79)</f>
        <v>0</v>
      </c>
      <c r="EE80">
        <f>SUMIF(Y47:Y79,1003,GK47:GK79)</f>
        <v>0</v>
      </c>
      <c r="EF80">
        <f>SUMIF(Y47:Y79,1004,GK47:GK79)</f>
        <v>0</v>
      </c>
      <c r="EG80">
        <f>SUMIF(Y47:Y79,1005,GK47:GK79)</f>
        <v>0</v>
      </c>
      <c r="EH80">
        <f>SUMIF(Y47:Y79,1006,GK47:GK79)</f>
        <v>0</v>
      </c>
      <c r="EI80">
        <f>SUMIF(Y47:Y79,1007,GK47:GK79)</f>
        <v>0</v>
      </c>
      <c r="EJ80">
        <f>SUMIF(Y47:Y79,1008,GK47:GK79)</f>
        <v>0</v>
      </c>
      <c r="EK80">
        <f>SUMIF(Y47:Y79,1009,GK47:GK79)</f>
        <v>0</v>
      </c>
      <c r="EL80">
        <f>SUMIF(Y47:Y79,1010,GK47:GK79)</f>
        <v>2189</v>
      </c>
      <c r="EM80">
        <f>SUMIF(Y47:Y79,1011,GK47:GK79)</f>
        <v>0</v>
      </c>
      <c r="EN80">
        <f>SUMIF(Y47:Y79,1012,GK47:GK79)</f>
        <v>0</v>
      </c>
      <c r="EO80">
        <f>SUMIF(Y47:Y79,1013,GK47:GK79)</f>
        <v>0</v>
      </c>
      <c r="EP80">
        <f>SUMIF(Y47:Y79,1014,GK47:GK79)</f>
        <v>0</v>
      </c>
      <c r="EQ80">
        <f>SUMIF(Y47:Y79,1015,GK47:GK79)</f>
        <v>0</v>
      </c>
      <c r="ER80">
        <f>SUMIF(Y47:Y79,1,GK47:GK79)</f>
        <v>0</v>
      </c>
      <c r="ET80">
        <f>Source!DM34</f>
        <v>278.18263499999995</v>
      </c>
      <c r="EU80">
        <f>Source!DN34</f>
        <v>95.796950999999993</v>
      </c>
      <c r="EV80">
        <f t="shared" ref="EV80:FQ80" si="1">SUM(GJ47:GJ79)</f>
        <v>29890</v>
      </c>
      <c r="EW80">
        <f t="shared" si="1"/>
        <v>2189</v>
      </c>
      <c r="EX80">
        <f t="shared" si="1"/>
        <v>27701</v>
      </c>
      <c r="EY80">
        <f t="shared" si="1"/>
        <v>1304</v>
      </c>
      <c r="EZ80">
        <f t="shared" si="1"/>
        <v>0</v>
      </c>
      <c r="FA80">
        <f t="shared" si="1"/>
        <v>0</v>
      </c>
      <c r="FB80">
        <f t="shared" si="1"/>
        <v>0</v>
      </c>
      <c r="FC80">
        <f t="shared" si="1"/>
        <v>0</v>
      </c>
      <c r="FD80">
        <f t="shared" si="1"/>
        <v>0</v>
      </c>
      <c r="FE80">
        <f t="shared" si="1"/>
        <v>0</v>
      </c>
      <c r="FF80">
        <f t="shared" si="1"/>
        <v>0</v>
      </c>
      <c r="FG80">
        <f t="shared" si="1"/>
        <v>0</v>
      </c>
      <c r="FH80">
        <f t="shared" si="1"/>
        <v>0</v>
      </c>
      <c r="FI80">
        <f t="shared" si="1"/>
        <v>0</v>
      </c>
      <c r="FJ80">
        <f t="shared" si="1"/>
        <v>0</v>
      </c>
      <c r="FK80">
        <f t="shared" si="1"/>
        <v>3004</v>
      </c>
      <c r="FL80">
        <f t="shared" si="1"/>
        <v>1643</v>
      </c>
      <c r="FM80">
        <f t="shared" si="1"/>
        <v>34537</v>
      </c>
      <c r="FN80">
        <f t="shared" si="1"/>
        <v>34537</v>
      </c>
      <c r="FO80">
        <f t="shared" si="1"/>
        <v>0</v>
      </c>
      <c r="FP80">
        <f t="shared" si="1"/>
        <v>0</v>
      </c>
      <c r="FQ80">
        <f t="shared" si="1"/>
        <v>0</v>
      </c>
      <c r="FR80">
        <f>FN80+FO80</f>
        <v>34537</v>
      </c>
      <c r="FS80">
        <f>SUM(HG47:HG79)</f>
        <v>0</v>
      </c>
      <c r="FT80">
        <f>SUM(HH47:HH79)</f>
        <v>0</v>
      </c>
      <c r="FU80">
        <f>SUM(HI47:HI79)</f>
        <v>0</v>
      </c>
      <c r="FV80">
        <f>SUM(HJ47:HJ79)</f>
        <v>0</v>
      </c>
      <c r="FW80">
        <f>SUM(HK47:HK79)</f>
        <v>16406</v>
      </c>
      <c r="FX80">
        <f>SUMIF(CV47:CV79,1,GK47:GK79)</f>
        <v>2189</v>
      </c>
      <c r="FY80">
        <f>SUMIF(CV47:CV79,2,GK47:GK79)</f>
        <v>0</v>
      </c>
      <c r="FZ80">
        <f>SUMIF(CV47:CV79,5,GK47:GK79)</f>
        <v>0</v>
      </c>
      <c r="GA80">
        <f>SUMIF(CV47:CV79,4,GK47:GK79)</f>
        <v>0</v>
      </c>
      <c r="GB80">
        <f>SUMIF(CV47:CV79,1,GL47:GL79)</f>
        <v>27701</v>
      </c>
      <c r="GC80">
        <f>SUMIF(CV47:CV79,2,GL47:GL79)</f>
        <v>0</v>
      </c>
      <c r="GD80">
        <f>SUMIF(CV47:CV79,4,GL47:GL79)</f>
        <v>0</v>
      </c>
      <c r="GE80">
        <f>SUMIF(CV47:CV79,1,GQ47:GQ79)</f>
        <v>0</v>
      </c>
      <c r="GF80">
        <f>SUMIF(CV47:CV79,2,GQ47:GQ79)</f>
        <v>0</v>
      </c>
      <c r="GG80">
        <f>SUMIF(CV47:CV79,4,GQ47:GQ79)</f>
        <v>0</v>
      </c>
      <c r="IB80">
        <f>SUM(HO47:HO79)</f>
        <v>16406</v>
      </c>
      <c r="IC80">
        <f>SUM(HQ47:HQ79)</f>
        <v>0</v>
      </c>
      <c r="ID80">
        <f>SUM(HS47:HS79)</f>
        <v>0</v>
      </c>
      <c r="IE80">
        <f>SUM(HU47:HU79)</f>
        <v>0</v>
      </c>
      <c r="IF80">
        <f>SUM(HY47:HY79)</f>
        <v>0</v>
      </c>
      <c r="IG80">
        <f>SUM(HZ47:HZ79)</f>
        <v>0</v>
      </c>
      <c r="IH80">
        <f>SUM(HL47:HL79)</f>
        <v>18131</v>
      </c>
      <c r="II80">
        <f>SUM(HN47:HN79)</f>
        <v>18131</v>
      </c>
      <c r="IJ80">
        <f>SUM(HP47:HP79)</f>
        <v>0</v>
      </c>
      <c r="IK80">
        <f>SUM(HR47:HR79)</f>
        <v>0</v>
      </c>
      <c r="IL80">
        <f>SUM(HT47:HT79)</f>
        <v>0</v>
      </c>
      <c r="IM80">
        <f>SUM(HW47:HW79)</f>
        <v>0</v>
      </c>
      <c r="IN80">
        <f>SUMIF(CV47:CV79,1,GY47:GY79)</f>
        <v>3004</v>
      </c>
      <c r="IO80">
        <f>SUMIF(CV47:CV79,2,GY47:GY79)</f>
        <v>0</v>
      </c>
      <c r="IP80">
        <f>SUMIF(CV47:CV79,5,GY47:GY79)</f>
        <v>0</v>
      </c>
      <c r="IQ80">
        <f>SUMIF(CV47:CV79,4,GY47:GY79)</f>
        <v>0</v>
      </c>
      <c r="IR80">
        <f>SUMIF(CV47:CV79,1,GZ47:GZ79)</f>
        <v>1643</v>
      </c>
      <c r="IS80">
        <f>SUMIF(CV47:CV79,2,GZ47:GZ79)</f>
        <v>0</v>
      </c>
      <c r="IT80">
        <f>SUMIF(CV47:CV79,5,GZ47:GZ79)</f>
        <v>0</v>
      </c>
      <c r="IU80">
        <f>SUMIF(CV47:CV79,4,GZ47:GZ79)</f>
        <v>0</v>
      </c>
    </row>
    <row r="82" spans="3:11" x14ac:dyDescent="0.2">
      <c r="C82" s="133" t="s">
        <v>283</v>
      </c>
      <c r="D82" s="133"/>
      <c r="E82" s="133"/>
      <c r="F82" s="133"/>
      <c r="G82" s="133"/>
      <c r="H82" s="133"/>
      <c r="I82" s="133"/>
      <c r="J82" s="133"/>
      <c r="K82" s="133"/>
    </row>
    <row r="83" spans="3:11" x14ac:dyDescent="0.2">
      <c r="C83" s="13" t="s">
        <v>284</v>
      </c>
      <c r="D83" s="13"/>
      <c r="E83" s="13"/>
      <c r="F83" s="13"/>
      <c r="G83" s="13"/>
      <c r="H83" s="13"/>
      <c r="I83" s="134">
        <f>ET80</f>
        <v>278.18263499999995</v>
      </c>
      <c r="J83" s="13"/>
      <c r="K83" s="134">
        <f>CW80</f>
        <v>278.18263499999995</v>
      </c>
    </row>
    <row r="84" spans="3:11" x14ac:dyDescent="0.2">
      <c r="C84" s="13" t="s">
        <v>89</v>
      </c>
      <c r="D84" s="13"/>
      <c r="E84" s="13"/>
      <c r="F84" s="13"/>
      <c r="G84" s="13"/>
      <c r="H84" s="13"/>
      <c r="I84" s="134">
        <f>EU80</f>
        <v>95.796950999999993</v>
      </c>
      <c r="J84" s="13"/>
      <c r="K84" s="134">
        <f>CX80</f>
        <v>95.796950999999993</v>
      </c>
    </row>
    <row r="86" spans="3:11" x14ac:dyDescent="0.2">
      <c r="C86" s="13" t="s">
        <v>47</v>
      </c>
      <c r="D86" s="13"/>
      <c r="E86" s="13"/>
      <c r="F86" s="13"/>
      <c r="G86" s="13"/>
      <c r="H86" s="13"/>
      <c r="I86" s="135">
        <f>EV80</f>
        <v>29890</v>
      </c>
      <c r="J86" s="13"/>
      <c r="K86" s="135">
        <f>CY80</f>
        <v>244662</v>
      </c>
    </row>
    <row r="87" spans="3:11" x14ac:dyDescent="0.2">
      <c r="C87" s="136" t="s">
        <v>283</v>
      </c>
      <c r="D87" s="133"/>
      <c r="E87" s="133"/>
      <c r="F87" s="133"/>
      <c r="G87" s="133"/>
      <c r="H87" s="133"/>
      <c r="I87" s="133"/>
      <c r="J87" s="133"/>
      <c r="K87" s="133"/>
    </row>
    <row r="88" spans="3:11" x14ac:dyDescent="0.2">
      <c r="C88" s="138" t="s">
        <v>285</v>
      </c>
      <c r="D88" s="137"/>
      <c r="E88" s="137"/>
      <c r="F88" s="137"/>
      <c r="G88" s="137"/>
      <c r="H88" s="137"/>
      <c r="I88" s="139">
        <f>EW80</f>
        <v>2189</v>
      </c>
      <c r="J88" s="137"/>
      <c r="K88" s="139">
        <f>CZ80</f>
        <v>55455</v>
      </c>
    </row>
    <row r="89" spans="3:11" x14ac:dyDescent="0.2">
      <c r="C89" s="140" t="s">
        <v>286</v>
      </c>
      <c r="D89" s="133"/>
      <c r="E89" s="133"/>
      <c r="F89" s="133"/>
      <c r="G89" s="133"/>
      <c r="H89" s="133"/>
      <c r="I89" s="133"/>
      <c r="J89" s="133"/>
      <c r="K89" s="133"/>
    </row>
    <row r="90" spans="3:11" hidden="1" x14ac:dyDescent="0.2">
      <c r="C90" s="141" t="s">
        <v>287</v>
      </c>
      <c r="D90" s="137"/>
      <c r="E90" s="137"/>
      <c r="F90" s="137"/>
      <c r="G90" s="137"/>
      <c r="H90" s="137"/>
      <c r="I90" s="139">
        <f>EC80</f>
        <v>0</v>
      </c>
      <c r="J90" s="137"/>
      <c r="K90" s="139">
        <f>CF80</f>
        <v>0</v>
      </c>
    </row>
    <row r="91" spans="3:11" hidden="1" x14ac:dyDescent="0.2">
      <c r="C91" s="141" t="s">
        <v>288</v>
      </c>
      <c r="D91" s="137"/>
      <c r="E91" s="137"/>
      <c r="F91" s="137"/>
      <c r="G91" s="137"/>
      <c r="H91" s="137"/>
      <c r="I91" s="139">
        <f>ED80</f>
        <v>0</v>
      </c>
      <c r="J91" s="137"/>
      <c r="K91" s="139">
        <f>CG80</f>
        <v>0</v>
      </c>
    </row>
    <row r="92" spans="3:11" hidden="1" x14ac:dyDescent="0.2">
      <c r="C92" s="141" t="s">
        <v>289</v>
      </c>
      <c r="D92" s="137"/>
      <c r="E92" s="137"/>
      <c r="F92" s="137"/>
      <c r="G92" s="137"/>
      <c r="H92" s="137"/>
      <c r="I92" s="139">
        <f>EE80</f>
        <v>0</v>
      </c>
      <c r="J92" s="137"/>
      <c r="K92" s="139">
        <f>CH80</f>
        <v>0</v>
      </c>
    </row>
    <row r="93" spans="3:11" hidden="1" x14ac:dyDescent="0.2">
      <c r="C93" s="141" t="s">
        <v>290</v>
      </c>
      <c r="D93" s="137"/>
      <c r="E93" s="137"/>
      <c r="F93" s="137"/>
      <c r="G93" s="137"/>
      <c r="H93" s="137"/>
      <c r="I93" s="139">
        <f>EF80</f>
        <v>0</v>
      </c>
      <c r="J93" s="137"/>
      <c r="K93" s="139">
        <f>CI80</f>
        <v>0</v>
      </c>
    </row>
    <row r="94" spans="3:11" hidden="1" x14ac:dyDescent="0.2">
      <c r="C94" s="141" t="s">
        <v>291</v>
      </c>
      <c r="D94" s="137"/>
      <c r="E94" s="137"/>
      <c r="F94" s="137"/>
      <c r="G94" s="137"/>
      <c r="H94" s="137"/>
      <c r="I94" s="139">
        <f>EG80</f>
        <v>0</v>
      </c>
      <c r="J94" s="137"/>
      <c r="K94" s="139">
        <f>CJ80</f>
        <v>0</v>
      </c>
    </row>
    <row r="95" spans="3:11" hidden="1" x14ac:dyDescent="0.2">
      <c r="C95" s="141" t="s">
        <v>292</v>
      </c>
      <c r="D95" s="137"/>
      <c r="E95" s="137"/>
      <c r="F95" s="137"/>
      <c r="G95" s="137"/>
      <c r="H95" s="137"/>
      <c r="I95" s="139">
        <f>EH80</f>
        <v>0</v>
      </c>
      <c r="J95" s="137"/>
      <c r="K95" s="139">
        <f>CK80</f>
        <v>0</v>
      </c>
    </row>
    <row r="96" spans="3:11" hidden="1" x14ac:dyDescent="0.2">
      <c r="C96" s="141" t="s">
        <v>293</v>
      </c>
      <c r="D96" s="137"/>
      <c r="E96" s="137"/>
      <c r="F96" s="137"/>
      <c r="G96" s="137"/>
      <c r="H96" s="137"/>
      <c r="I96" s="139">
        <f>EI80</f>
        <v>0</v>
      </c>
      <c r="J96" s="137"/>
      <c r="K96" s="139">
        <f>CL80</f>
        <v>0</v>
      </c>
    </row>
    <row r="97" spans="3:13" hidden="1" x14ac:dyDescent="0.2">
      <c r="C97" s="141" t="s">
        <v>294</v>
      </c>
      <c r="D97" s="137"/>
      <c r="E97" s="137"/>
      <c r="F97" s="137"/>
      <c r="G97" s="137"/>
      <c r="H97" s="137"/>
      <c r="I97" s="139">
        <f>EJ80</f>
        <v>0</v>
      </c>
      <c r="J97" s="137"/>
      <c r="K97" s="139">
        <f>CM80</f>
        <v>0</v>
      </c>
    </row>
    <row r="98" spans="3:13" hidden="1" x14ac:dyDescent="0.2">
      <c r="C98" s="141" t="s">
        <v>295</v>
      </c>
      <c r="D98" s="137"/>
      <c r="E98" s="137"/>
      <c r="F98" s="137"/>
      <c r="G98" s="137"/>
      <c r="H98" s="137"/>
      <c r="I98" s="139">
        <f>EK80</f>
        <v>0</v>
      </c>
      <c r="J98" s="137"/>
      <c r="K98" s="139">
        <f>CN80</f>
        <v>0</v>
      </c>
    </row>
    <row r="99" spans="3:13" x14ac:dyDescent="0.2">
      <c r="C99" s="141" t="s">
        <v>296</v>
      </c>
      <c r="D99" s="137"/>
      <c r="E99" s="137"/>
      <c r="F99" s="137"/>
      <c r="G99" s="137"/>
      <c r="H99" s="137"/>
      <c r="I99" s="139">
        <f>EL80</f>
        <v>2189</v>
      </c>
      <c r="J99" s="137"/>
      <c r="K99" s="139">
        <f>CO80</f>
        <v>55455</v>
      </c>
    </row>
    <row r="100" spans="3:13" hidden="1" x14ac:dyDescent="0.2">
      <c r="C100" s="141" t="s">
        <v>297</v>
      </c>
      <c r="D100" s="137"/>
      <c r="E100" s="137"/>
      <c r="F100" s="137"/>
      <c r="G100" s="137"/>
      <c r="H100" s="137"/>
      <c r="I100" s="139">
        <f>EM80</f>
        <v>0</v>
      </c>
      <c r="J100" s="137"/>
      <c r="K100" s="139">
        <f>CP80</f>
        <v>0</v>
      </c>
    </row>
    <row r="101" spans="3:13" hidden="1" x14ac:dyDescent="0.2">
      <c r="C101" s="141" t="s">
        <v>298</v>
      </c>
      <c r="D101" s="137"/>
      <c r="E101" s="137"/>
      <c r="F101" s="137"/>
      <c r="G101" s="137"/>
      <c r="H101" s="137"/>
      <c r="I101" s="139">
        <f>EN80</f>
        <v>0</v>
      </c>
      <c r="J101" s="137"/>
      <c r="K101" s="139">
        <f>CQ80</f>
        <v>0</v>
      </c>
    </row>
    <row r="102" spans="3:13" hidden="1" x14ac:dyDescent="0.2">
      <c r="C102" s="141" t="s">
        <v>299</v>
      </c>
      <c r="D102" s="137"/>
      <c r="E102" s="137"/>
      <c r="F102" s="137"/>
      <c r="G102" s="137"/>
      <c r="H102" s="137"/>
      <c r="I102" s="139">
        <f>EO80</f>
        <v>0</v>
      </c>
      <c r="J102" s="137"/>
      <c r="K102" s="139">
        <f>CR80</f>
        <v>0</v>
      </c>
    </row>
    <row r="103" spans="3:13" hidden="1" x14ac:dyDescent="0.2">
      <c r="C103" s="141" t="s">
        <v>300</v>
      </c>
      <c r="D103" s="137"/>
      <c r="E103" s="137"/>
      <c r="F103" s="137"/>
      <c r="G103" s="137"/>
      <c r="H103" s="137"/>
      <c r="I103" s="139">
        <f>EP80</f>
        <v>0</v>
      </c>
      <c r="J103" s="137"/>
      <c r="K103" s="139">
        <f>CS80</f>
        <v>0</v>
      </c>
    </row>
    <row r="104" spans="3:13" hidden="1" x14ac:dyDescent="0.2">
      <c r="C104" s="141" t="s">
        <v>301</v>
      </c>
      <c r="D104" s="137"/>
      <c r="E104" s="137"/>
      <c r="F104" s="137"/>
      <c r="G104" s="137"/>
      <c r="H104" s="137"/>
      <c r="I104" s="139">
        <f>EQ80</f>
        <v>0</v>
      </c>
      <c r="J104" s="137"/>
      <c r="K104" s="139">
        <f>CT80</f>
        <v>0</v>
      </c>
    </row>
    <row r="105" spans="3:13" hidden="1" x14ac:dyDescent="0.2">
      <c r="C105" s="141" t="s">
        <v>302</v>
      </c>
      <c r="D105" s="137"/>
      <c r="E105" s="137"/>
      <c r="F105" s="137"/>
      <c r="G105" s="137"/>
      <c r="H105" s="137"/>
      <c r="I105" s="139">
        <f>ER80</f>
        <v>0</v>
      </c>
      <c r="J105" s="137"/>
      <c r="K105" s="139">
        <f>CU80</f>
        <v>0</v>
      </c>
    </row>
    <row r="107" spans="3:13" x14ac:dyDescent="0.2">
      <c r="C107" s="143" t="s">
        <v>303</v>
      </c>
      <c r="D107" s="142"/>
      <c r="E107" s="142"/>
      <c r="F107" s="142"/>
      <c r="G107" s="142"/>
      <c r="H107" s="142"/>
      <c r="I107" s="144">
        <f>EX80</f>
        <v>27701</v>
      </c>
      <c r="J107" s="142"/>
      <c r="K107" s="144">
        <f>DA80*0.9</f>
        <v>170286.30000000002</v>
      </c>
      <c r="L107">
        <v>0.9</v>
      </c>
      <c r="M107">
        <v>189207</v>
      </c>
    </row>
    <row r="108" spans="3:13" x14ac:dyDescent="0.2">
      <c r="C108" s="140" t="s">
        <v>283</v>
      </c>
      <c r="D108" s="133"/>
      <c r="E108" s="133"/>
      <c r="F108" s="133"/>
      <c r="G108" s="133"/>
      <c r="H108" s="133"/>
      <c r="I108" s="133"/>
      <c r="J108" s="133"/>
      <c r="K108" s="133"/>
    </row>
    <row r="109" spans="3:13" x14ac:dyDescent="0.2">
      <c r="C109" s="145" t="s">
        <v>304</v>
      </c>
      <c r="D109" s="142"/>
      <c r="E109" s="142"/>
      <c r="F109" s="142"/>
      <c r="G109" s="142"/>
      <c r="H109" s="142"/>
      <c r="I109" s="144">
        <f>EY80</f>
        <v>1304</v>
      </c>
      <c r="J109" s="142"/>
      <c r="K109" s="144">
        <f>DB80</f>
        <v>23899</v>
      </c>
    </row>
    <row r="110" spans="3:13" hidden="1" x14ac:dyDescent="0.2">
      <c r="C110" s="146" t="s">
        <v>305</v>
      </c>
      <c r="D110" s="13"/>
      <c r="E110" s="13"/>
      <c r="F110" s="13"/>
      <c r="G110" s="13"/>
      <c r="H110" s="13"/>
      <c r="I110" s="135">
        <f>EZ80</f>
        <v>0</v>
      </c>
      <c r="J110" s="13"/>
      <c r="K110" s="135">
        <f>DC80</f>
        <v>0</v>
      </c>
    </row>
    <row r="111" spans="3:13" hidden="1" x14ac:dyDescent="0.2">
      <c r="C111" s="140" t="s">
        <v>283</v>
      </c>
      <c r="D111" s="133"/>
      <c r="E111" s="133"/>
      <c r="F111" s="133"/>
      <c r="G111" s="133"/>
      <c r="H111" s="133"/>
      <c r="I111" s="133"/>
      <c r="J111" s="133"/>
      <c r="K111" s="133"/>
    </row>
    <row r="112" spans="3:13" hidden="1" x14ac:dyDescent="0.2">
      <c r="C112" s="147" t="s">
        <v>306</v>
      </c>
      <c r="D112" s="13"/>
      <c r="E112" s="13"/>
      <c r="F112" s="13"/>
      <c r="G112" s="13"/>
      <c r="H112" s="13"/>
      <c r="I112" s="135">
        <f>FA80</f>
        <v>0</v>
      </c>
      <c r="J112" s="13"/>
      <c r="K112" s="135">
        <f>DD80</f>
        <v>0</v>
      </c>
    </row>
    <row r="113" spans="1:13" hidden="1" x14ac:dyDescent="0.2">
      <c r="C113" s="147" t="s">
        <v>307</v>
      </c>
      <c r="D113" s="13"/>
      <c r="E113" s="13"/>
      <c r="F113" s="13"/>
      <c r="G113" s="13"/>
      <c r="H113" s="13"/>
      <c r="I113" s="135">
        <f>FB80</f>
        <v>0</v>
      </c>
      <c r="J113" s="13"/>
      <c r="K113" s="135">
        <f>DE80</f>
        <v>0</v>
      </c>
    </row>
    <row r="114" spans="1:13" hidden="1" x14ac:dyDescent="0.2">
      <c r="C114" s="149" t="s">
        <v>308</v>
      </c>
      <c r="D114" s="148"/>
      <c r="E114" s="148"/>
      <c r="F114" s="148"/>
      <c r="G114" s="148"/>
      <c r="H114" s="148"/>
      <c r="I114" s="150">
        <f>FC80</f>
        <v>0</v>
      </c>
      <c r="J114" s="148"/>
      <c r="K114" s="150">
        <f>DF80</f>
        <v>0</v>
      </c>
    </row>
    <row r="115" spans="1:13" hidden="1" x14ac:dyDescent="0.2">
      <c r="C115" s="151" t="s">
        <v>309</v>
      </c>
      <c r="D115" s="148"/>
      <c r="E115" s="148"/>
      <c r="F115" s="148"/>
      <c r="G115" s="148"/>
      <c r="H115" s="148"/>
      <c r="I115" s="150">
        <f>FD80</f>
        <v>0</v>
      </c>
      <c r="J115" s="148"/>
      <c r="K115" s="150">
        <f>DG80</f>
        <v>0</v>
      </c>
    </row>
    <row r="116" spans="1:13" hidden="1" x14ac:dyDescent="0.2">
      <c r="C116" s="151" t="s">
        <v>310</v>
      </c>
      <c r="D116" s="148"/>
      <c r="E116" s="148"/>
      <c r="F116" s="148"/>
      <c r="G116" s="148"/>
      <c r="H116" s="148"/>
      <c r="I116" s="150">
        <f>FE80</f>
        <v>0</v>
      </c>
      <c r="J116" s="148"/>
      <c r="K116" s="150">
        <f>DH80</f>
        <v>0</v>
      </c>
    </row>
    <row r="117" spans="1:13" hidden="1" x14ac:dyDescent="0.2">
      <c r="C117" s="153" t="s">
        <v>311</v>
      </c>
      <c r="D117" s="152"/>
      <c r="E117" s="152"/>
      <c r="F117" s="152"/>
      <c r="G117" s="152"/>
      <c r="H117" s="152"/>
      <c r="I117" s="154">
        <f>FF80</f>
        <v>0</v>
      </c>
      <c r="J117" s="152"/>
      <c r="K117" s="154">
        <f>DI80</f>
        <v>0</v>
      </c>
    </row>
    <row r="118" spans="1:13" hidden="1" x14ac:dyDescent="0.2">
      <c r="C118" s="155" t="s">
        <v>312</v>
      </c>
      <c r="D118" s="152"/>
      <c r="E118" s="152"/>
      <c r="F118" s="152"/>
      <c r="G118" s="152"/>
      <c r="H118" s="152"/>
      <c r="I118" s="154">
        <f>FG80</f>
        <v>0</v>
      </c>
      <c r="J118" s="152"/>
      <c r="K118" s="154">
        <f>DJ80</f>
        <v>0</v>
      </c>
    </row>
    <row r="119" spans="1:13" hidden="1" x14ac:dyDescent="0.2">
      <c r="C119" s="155" t="s">
        <v>313</v>
      </c>
      <c r="D119" s="152"/>
      <c r="E119" s="152"/>
      <c r="F119" s="152"/>
      <c r="G119" s="152"/>
      <c r="H119" s="152"/>
      <c r="I119" s="154">
        <f>FH80</f>
        <v>0</v>
      </c>
      <c r="J119" s="152"/>
      <c r="K119" s="154">
        <f>DK80</f>
        <v>0</v>
      </c>
    </row>
    <row r="120" spans="1:13" hidden="1" x14ac:dyDescent="0.2">
      <c r="C120" s="146" t="s">
        <v>85</v>
      </c>
      <c r="D120" s="13"/>
      <c r="E120" s="13"/>
      <c r="F120" s="13"/>
      <c r="G120" s="13"/>
      <c r="H120" s="13"/>
      <c r="I120" s="135">
        <f>FI80</f>
        <v>0</v>
      </c>
      <c r="J120" s="13"/>
      <c r="K120" s="135">
        <f>DL80</f>
        <v>0</v>
      </c>
    </row>
    <row r="121" spans="1:13" hidden="1" x14ac:dyDescent="0.2">
      <c r="C121" s="146" t="s">
        <v>91</v>
      </c>
      <c r="D121" s="13"/>
      <c r="E121" s="13"/>
      <c r="F121" s="13"/>
      <c r="G121" s="13"/>
      <c r="H121" s="13"/>
      <c r="I121" s="135">
        <f>FJ80</f>
        <v>0</v>
      </c>
      <c r="J121" s="13"/>
      <c r="K121" s="135">
        <f>DM80</f>
        <v>0</v>
      </c>
    </row>
    <row r="122" spans="1:13" x14ac:dyDescent="0.2">
      <c r="C122" s="138" t="s">
        <v>314</v>
      </c>
      <c r="D122" s="137"/>
      <c r="E122" s="137"/>
      <c r="F122" s="137"/>
      <c r="G122" s="137"/>
      <c r="H122" s="137"/>
      <c r="I122" s="139">
        <f>EW80+EY80</f>
        <v>3493</v>
      </c>
      <c r="J122" s="137"/>
      <c r="K122" s="139">
        <f>CZ80+DB80</f>
        <v>79354</v>
      </c>
    </row>
    <row r="124" spans="1:13" x14ac:dyDescent="0.2">
      <c r="A124" s="156"/>
      <c r="B124" s="156"/>
      <c r="C124" s="156" t="s">
        <v>93</v>
      </c>
      <c r="D124" s="156"/>
      <c r="E124" s="156"/>
      <c r="F124" s="156"/>
      <c r="G124" s="156"/>
      <c r="H124" s="156"/>
      <c r="I124" s="157">
        <f>FW80</f>
        <v>16406</v>
      </c>
      <c r="J124" s="156"/>
      <c r="K124" s="157">
        <f>DZ80</f>
        <v>116807</v>
      </c>
    </row>
    <row r="125" spans="1:13" x14ac:dyDescent="0.2">
      <c r="A125" s="156"/>
      <c r="B125" s="156"/>
      <c r="C125" s="156" t="s">
        <v>315</v>
      </c>
      <c r="D125" s="156"/>
      <c r="E125" s="156"/>
      <c r="F125" s="156"/>
      <c r="G125" s="156"/>
      <c r="H125" s="156"/>
      <c r="I125" s="157">
        <f>FK80</f>
        <v>3004</v>
      </c>
      <c r="J125" s="156"/>
      <c r="K125" s="157">
        <f>DN80*0.75</f>
        <v>47985.75</v>
      </c>
      <c r="L125">
        <v>0.75</v>
      </c>
      <c r="M125">
        <v>63981</v>
      </c>
    </row>
    <row r="126" spans="1:13" x14ac:dyDescent="0.2">
      <c r="A126" s="156"/>
      <c r="B126" s="156"/>
      <c r="C126" s="156" t="s">
        <v>316</v>
      </c>
      <c r="D126" s="156"/>
      <c r="E126" s="156"/>
      <c r="F126" s="156"/>
      <c r="G126" s="156"/>
      <c r="H126" s="156"/>
      <c r="I126" s="157">
        <f>FL80</f>
        <v>1643</v>
      </c>
      <c r="J126" s="156"/>
      <c r="K126" s="157">
        <f>DO80*0.75</f>
        <v>23599.5</v>
      </c>
      <c r="L126">
        <v>0.75</v>
      </c>
      <c r="M126">
        <v>31446</v>
      </c>
    </row>
    <row r="128" spans="1:13" x14ac:dyDescent="0.2">
      <c r="C128" s="25" t="s">
        <v>317</v>
      </c>
      <c r="D128" s="25"/>
      <c r="E128" s="25"/>
      <c r="F128" s="25"/>
      <c r="G128" s="25"/>
      <c r="H128" s="25"/>
      <c r="I128" s="158">
        <f>FM80</f>
        <v>34537</v>
      </c>
      <c r="J128" s="25"/>
      <c r="K128" s="158">
        <f>K88+K107+K125+K126</f>
        <v>297326.55000000005</v>
      </c>
      <c r="M128">
        <v>340109</v>
      </c>
    </row>
    <row r="129" spans="3:11" x14ac:dyDescent="0.2">
      <c r="C129" s="136" t="s">
        <v>318</v>
      </c>
      <c r="D129" s="133"/>
      <c r="E129" s="133"/>
      <c r="F129" s="133"/>
      <c r="G129" s="133"/>
      <c r="H129" s="133"/>
      <c r="I129" s="133"/>
      <c r="J129" s="133"/>
      <c r="K129" s="133"/>
    </row>
    <row r="130" spans="3:11" x14ac:dyDescent="0.2">
      <c r="C130" s="146" t="s">
        <v>319</v>
      </c>
      <c r="D130" s="13"/>
      <c r="E130" s="13"/>
      <c r="F130" s="13"/>
      <c r="G130" s="13"/>
      <c r="H130" s="13"/>
      <c r="I130" s="135">
        <f>FN80</f>
        <v>34537</v>
      </c>
      <c r="J130" s="13"/>
      <c r="K130" s="135">
        <f>K128</f>
        <v>297326.55000000005</v>
      </c>
    </row>
    <row r="131" spans="3:11" hidden="1" x14ac:dyDescent="0.2">
      <c r="C131" s="146" t="s">
        <v>320</v>
      </c>
      <c r="D131" s="13"/>
      <c r="E131" s="13"/>
      <c r="F131" s="13"/>
      <c r="G131" s="13"/>
      <c r="H131" s="13"/>
      <c r="I131" s="135">
        <f>FO80</f>
        <v>0</v>
      </c>
      <c r="J131" s="13"/>
      <c r="K131" s="135">
        <f>DR80</f>
        <v>0</v>
      </c>
    </row>
    <row r="132" spans="3:11" hidden="1" x14ac:dyDescent="0.2">
      <c r="C132" s="159" t="s">
        <v>321</v>
      </c>
      <c r="D132" s="152"/>
      <c r="E132" s="152"/>
      <c r="F132" s="152"/>
      <c r="G132" s="152"/>
      <c r="H132" s="152"/>
      <c r="I132" s="154">
        <f>FP80</f>
        <v>0</v>
      </c>
      <c r="J132" s="152"/>
      <c r="K132" s="154">
        <f>DS80</f>
        <v>0</v>
      </c>
    </row>
    <row r="133" spans="3:11" hidden="1" x14ac:dyDescent="0.2">
      <c r="C133" s="146" t="s">
        <v>80</v>
      </c>
      <c r="D133" s="13"/>
      <c r="E133" s="13"/>
      <c r="F133" s="13"/>
      <c r="G133" s="13"/>
      <c r="H133" s="13"/>
      <c r="I133" s="135">
        <f>FQ80</f>
        <v>0</v>
      </c>
      <c r="J133" s="13"/>
      <c r="K133" s="135">
        <f>DT80</f>
        <v>0</v>
      </c>
    </row>
    <row r="135" spans="3:11" x14ac:dyDescent="0.2">
      <c r="C135" s="13" t="s">
        <v>322</v>
      </c>
      <c r="D135" s="13"/>
      <c r="E135" s="13"/>
      <c r="F135" s="13"/>
      <c r="G135" s="13"/>
      <c r="H135" s="13"/>
      <c r="I135" s="135">
        <f>FR80</f>
        <v>34537</v>
      </c>
      <c r="J135" s="13"/>
      <c r="K135" s="135">
        <f>K130</f>
        <v>297326.55000000005</v>
      </c>
    </row>
    <row r="136" spans="3:11" x14ac:dyDescent="0.2">
      <c r="C136" s="13" t="s">
        <v>323</v>
      </c>
      <c r="D136" s="13"/>
      <c r="E136" s="13"/>
      <c r="F136" s="13"/>
      <c r="G136" s="13"/>
      <c r="H136" s="13"/>
      <c r="I136" s="13"/>
      <c r="J136" s="13"/>
      <c r="K136" s="13"/>
    </row>
    <row r="137" spans="3:11" x14ac:dyDescent="0.2">
      <c r="C137" s="13" t="s">
        <v>324</v>
      </c>
      <c r="D137" s="13"/>
      <c r="E137" s="24">
        <v>0</v>
      </c>
      <c r="F137" s="160" t="s">
        <v>272</v>
      </c>
      <c r="G137" s="13"/>
      <c r="H137" s="13"/>
      <c r="I137" s="135">
        <f>ROUND(I135*E137/100,0)</f>
        <v>0</v>
      </c>
      <c r="J137" s="13"/>
      <c r="K137" s="135">
        <f>ROUND(K135*E137/100,0)</f>
        <v>0</v>
      </c>
    </row>
    <row r="138" spans="3:11" x14ac:dyDescent="0.2">
      <c r="C138" s="13" t="s">
        <v>325</v>
      </c>
      <c r="D138" s="13"/>
      <c r="E138" s="13"/>
      <c r="F138" s="13"/>
      <c r="G138" s="13"/>
      <c r="H138" s="13"/>
      <c r="I138" s="135">
        <f>I137+I135</f>
        <v>34537</v>
      </c>
      <c r="J138" s="13"/>
      <c r="K138" s="135">
        <f>ROUND(K135,0)</f>
        <v>297327</v>
      </c>
    </row>
    <row r="140" spans="3:11" x14ac:dyDescent="0.2">
      <c r="C140" s="25" t="s">
        <v>326</v>
      </c>
      <c r="D140" s="25"/>
      <c r="E140" s="25"/>
      <c r="F140" s="25"/>
      <c r="G140" s="25"/>
      <c r="H140" s="25"/>
      <c r="I140" s="158">
        <f>I138+FP80+FQ80</f>
        <v>34537</v>
      </c>
      <c r="J140" s="25"/>
      <c r="K140" s="158">
        <f>K138+DS80+DT80</f>
        <v>297327</v>
      </c>
    </row>
    <row r="141" spans="3:11" x14ac:dyDescent="0.2">
      <c r="C141" s="13" t="s">
        <v>327</v>
      </c>
      <c r="D141" s="13"/>
      <c r="E141" s="24">
        <v>20</v>
      </c>
      <c r="F141" s="160" t="s">
        <v>272</v>
      </c>
      <c r="G141" s="13"/>
      <c r="H141" s="13"/>
      <c r="I141" s="13"/>
      <c r="J141" s="13"/>
      <c r="K141" s="134">
        <f>ROUND(K140*E141/100,2)</f>
        <v>59465.4</v>
      </c>
    </row>
    <row r="142" spans="3:11" x14ac:dyDescent="0.2">
      <c r="C142" s="25" t="s">
        <v>328</v>
      </c>
      <c r="D142" s="25"/>
      <c r="E142" s="25"/>
      <c r="F142" s="25"/>
      <c r="G142" s="25"/>
      <c r="H142" s="25"/>
      <c r="I142" s="25"/>
      <c r="J142" s="25"/>
      <c r="K142" s="161">
        <f>K141+K140</f>
        <v>356792.4</v>
      </c>
    </row>
    <row r="143" spans="3:11" hidden="1" outlineLevel="1" x14ac:dyDescent="0.2"/>
    <row r="144" spans="3:11" hidden="1" outlineLevel="1" x14ac:dyDescent="0.2"/>
    <row r="145" spans="1:255" hidden="1" outlineLevel="1" x14ac:dyDescent="0.2">
      <c r="A145" s="162" t="s">
        <v>329</v>
      </c>
      <c r="B145" s="162"/>
      <c r="C145" s="347"/>
      <c r="D145" s="347"/>
      <c r="E145" s="347"/>
      <c r="F145" s="347"/>
      <c r="G145" s="163"/>
      <c r="H145" s="163"/>
      <c r="I145" s="347"/>
      <c r="J145" s="347"/>
      <c r="BY145" s="164">
        <f>C145</f>
        <v>0</v>
      </c>
      <c r="BZ145" s="164">
        <f>I145</f>
        <v>0</v>
      </c>
      <c r="IU145" s="23"/>
    </row>
    <row r="146" spans="1:255" s="166" customFormat="1" ht="11.25" hidden="1" outlineLevel="1" x14ac:dyDescent="0.2">
      <c r="A146" s="165"/>
      <c r="B146" s="165"/>
      <c r="C146" s="391" t="s">
        <v>330</v>
      </c>
      <c r="D146" s="391"/>
      <c r="E146" s="391"/>
      <c r="F146" s="391"/>
      <c r="G146" s="391"/>
      <c r="H146" s="391"/>
      <c r="I146" s="391" t="s">
        <v>331</v>
      </c>
      <c r="J146" s="391"/>
    </row>
    <row r="147" spans="1:255" hidden="1" outlineLevel="1" x14ac:dyDescent="0.2">
      <c r="A147" s="18"/>
      <c r="B147" s="18"/>
      <c r="C147" s="18"/>
      <c r="D147" s="18"/>
      <c r="E147" s="18"/>
      <c r="F147" s="18"/>
      <c r="G147" s="11" t="s">
        <v>332</v>
      </c>
      <c r="H147" s="18"/>
      <c r="I147" s="18"/>
      <c r="J147" s="18"/>
    </row>
    <row r="148" spans="1:255" hidden="1" outlineLevel="1" x14ac:dyDescent="0.2">
      <c r="A148" s="162" t="s">
        <v>333</v>
      </c>
      <c r="B148" s="162"/>
      <c r="C148" s="347"/>
      <c r="D148" s="347"/>
      <c r="E148" s="347"/>
      <c r="F148" s="347"/>
      <c r="G148" s="163"/>
      <c r="H148" s="163"/>
      <c r="I148" s="347"/>
      <c r="J148" s="347"/>
      <c r="BY148" s="164">
        <f>C148</f>
        <v>0</v>
      </c>
      <c r="BZ148" s="164">
        <f>I148</f>
        <v>0</v>
      </c>
      <c r="IU148" s="23"/>
    </row>
    <row r="149" spans="1:255" s="166" customFormat="1" ht="11.25" hidden="1" outlineLevel="1" x14ac:dyDescent="0.2">
      <c r="A149" s="165"/>
      <c r="B149" s="165"/>
      <c r="C149" s="391" t="s">
        <v>330</v>
      </c>
      <c r="D149" s="391"/>
      <c r="E149" s="391"/>
      <c r="F149" s="391"/>
      <c r="G149" s="391"/>
      <c r="H149" s="391"/>
      <c r="I149" s="391" t="s">
        <v>331</v>
      </c>
      <c r="J149" s="391"/>
    </row>
    <row r="150" spans="1:255" hidden="1" outlineLevel="1" x14ac:dyDescent="0.2">
      <c r="A150" s="18"/>
      <c r="B150" s="18"/>
      <c r="C150" s="18"/>
      <c r="D150" s="18"/>
      <c r="E150" s="18"/>
      <c r="F150" s="18"/>
      <c r="G150" s="11" t="s">
        <v>332</v>
      </c>
      <c r="H150" s="18"/>
      <c r="I150" s="18"/>
      <c r="J150" s="18"/>
    </row>
    <row r="151" spans="1:255" collapsed="1" x14ac:dyDescent="0.2"/>
    <row r="152" spans="1:255" outlineLevel="1" x14ac:dyDescent="0.2"/>
    <row r="153" spans="1:255" outlineLevel="1" x14ac:dyDescent="0.2"/>
    <row r="154" spans="1:255" hidden="1" outlineLevel="1" x14ac:dyDescent="0.2">
      <c r="A154" s="162" t="s">
        <v>334</v>
      </c>
      <c r="B154" s="162"/>
      <c r="C154" s="347" t="s">
        <v>403</v>
      </c>
      <c r="D154" s="347"/>
      <c r="E154" s="347"/>
      <c r="F154" s="347"/>
      <c r="G154" s="163"/>
      <c r="H154" s="163"/>
      <c r="I154" s="347" t="s">
        <v>7</v>
      </c>
      <c r="J154" s="347"/>
      <c r="K154" s="31">
        <v>45063</v>
      </c>
      <c r="BY154" s="164" t="str">
        <f>C154</f>
        <v xml:space="preserve"> Главный инженер сметчик сметно-расчетной службы ООО "ОДСК"</v>
      </c>
      <c r="BZ154" s="164" t="str">
        <f>I154</f>
        <v>Кузнецова У. И.</v>
      </c>
      <c r="IU154" s="23"/>
    </row>
    <row r="155" spans="1:255" s="166" customFormat="1" ht="11.25" hidden="1" outlineLevel="1" x14ac:dyDescent="0.2">
      <c r="A155" s="165"/>
      <c r="B155" s="165"/>
      <c r="C155" s="391" t="s">
        <v>330</v>
      </c>
      <c r="D155" s="391"/>
      <c r="E155" s="391"/>
      <c r="F155" s="391"/>
      <c r="G155" s="391"/>
      <c r="H155" s="391"/>
      <c r="I155" s="391" t="s">
        <v>331</v>
      </c>
      <c r="J155" s="391"/>
    </row>
    <row r="156" spans="1:255" hidden="1" outlineLevel="1" x14ac:dyDescent="0.2">
      <c r="A156" s="18"/>
      <c r="B156" s="18"/>
      <c r="C156" s="18"/>
      <c r="D156" s="18"/>
      <c r="E156" s="18"/>
      <c r="F156" s="18"/>
      <c r="G156" s="11" t="s">
        <v>332</v>
      </c>
      <c r="H156" s="18"/>
      <c r="I156" s="18"/>
      <c r="J156" s="18"/>
    </row>
    <row r="157" spans="1:255" hidden="1" outlineLevel="1" x14ac:dyDescent="0.2">
      <c r="A157" s="162" t="s">
        <v>335</v>
      </c>
      <c r="B157" s="162"/>
      <c r="C157" s="347" t="s">
        <v>336</v>
      </c>
      <c r="D157" s="347"/>
      <c r="E157" s="347"/>
      <c r="F157" s="347"/>
      <c r="G157" s="163"/>
      <c r="H157" s="163"/>
      <c r="I157" s="347" t="s">
        <v>337</v>
      </c>
      <c r="J157" s="347"/>
      <c r="BY157" s="164" t="str">
        <f>C157</f>
        <v>Руководитель  сметно-расчетной службы ООО "ОДСК"</v>
      </c>
      <c r="BZ157" s="164" t="str">
        <f>I157</f>
        <v>Артамонова Ю.А.</v>
      </c>
      <c r="IU157" s="23"/>
    </row>
    <row r="158" spans="1:255" s="166" customFormat="1" ht="11.25" hidden="1" outlineLevel="1" x14ac:dyDescent="0.2">
      <c r="A158" s="165"/>
      <c r="B158" s="165"/>
      <c r="C158" s="391" t="s">
        <v>330</v>
      </c>
      <c r="D158" s="391"/>
      <c r="E158" s="391"/>
      <c r="F158" s="391"/>
      <c r="G158" s="391"/>
      <c r="H158" s="391"/>
      <c r="I158" s="391" t="s">
        <v>331</v>
      </c>
      <c r="J158" s="391"/>
    </row>
    <row r="159" spans="1:255" hidden="1" outlineLevel="1" x14ac:dyDescent="0.2">
      <c r="A159" s="18"/>
      <c r="B159" s="18"/>
      <c r="C159" s="18"/>
      <c r="D159" s="18"/>
      <c r="E159" s="18"/>
      <c r="F159" s="18"/>
      <c r="G159" s="11" t="s">
        <v>332</v>
      </c>
      <c r="H159" s="18"/>
      <c r="I159" s="18"/>
      <c r="J159" s="18"/>
    </row>
    <row r="160" spans="1:255" hidden="1" outlineLevel="1" x14ac:dyDescent="0.2">
      <c r="A160" s="162" t="s">
        <v>221</v>
      </c>
      <c r="B160" s="162"/>
      <c r="C160" s="347" t="s">
        <v>338</v>
      </c>
      <c r="D160" s="347"/>
      <c r="E160" s="347"/>
      <c r="F160" s="347"/>
      <c r="G160" s="163"/>
      <c r="H160" s="163"/>
      <c r="I160" s="347" t="s">
        <v>339</v>
      </c>
      <c r="J160" s="347"/>
      <c r="BY160" s="164" t="str">
        <f>C160</f>
        <v>Руководитель ПТС ООО "ОСУ-2"</v>
      </c>
      <c r="BZ160" s="164" t="str">
        <f>I160</f>
        <v>Когтев В.И.</v>
      </c>
      <c r="IU160" s="23"/>
    </row>
    <row r="161" spans="1:10" s="166" customFormat="1" ht="11.25" hidden="1" outlineLevel="1" x14ac:dyDescent="0.2">
      <c r="A161" s="165"/>
      <c r="B161" s="165"/>
      <c r="C161" s="391" t="s">
        <v>330</v>
      </c>
      <c r="D161" s="391"/>
      <c r="E161" s="391"/>
      <c r="F161" s="391"/>
      <c r="G161" s="391"/>
      <c r="H161" s="391"/>
      <c r="I161" s="391" t="s">
        <v>331</v>
      </c>
      <c r="J161" s="391"/>
    </row>
    <row r="162" spans="1:10" hidden="1" outlineLevel="1" x14ac:dyDescent="0.2">
      <c r="A162" s="18"/>
      <c r="B162" s="18"/>
      <c r="C162" s="18"/>
      <c r="D162" s="18"/>
      <c r="E162" s="18"/>
      <c r="F162" s="18"/>
      <c r="G162" s="11" t="s">
        <v>332</v>
      </c>
      <c r="H162" s="18"/>
      <c r="I162" s="18"/>
      <c r="J162" s="18"/>
    </row>
    <row r="163" spans="1:10" collapsed="1" x14ac:dyDescent="0.2"/>
    <row r="164" spans="1:10" x14ac:dyDescent="0.2">
      <c r="A164" s="31"/>
      <c r="B164" s="31"/>
    </row>
  </sheetData>
  <mergeCells count="85">
    <mergeCell ref="C158:H158"/>
    <mergeCell ref="I158:J158"/>
    <mergeCell ref="C160:F160"/>
    <mergeCell ref="I160:J160"/>
    <mergeCell ref="C161:H161"/>
    <mergeCell ref="I161:J161"/>
    <mergeCell ref="C154:F154"/>
    <mergeCell ref="I154:J154"/>
    <mergeCell ref="C155:H155"/>
    <mergeCell ref="I155:J155"/>
    <mergeCell ref="C157:F157"/>
    <mergeCell ref="I157:J157"/>
    <mergeCell ref="C146:H146"/>
    <mergeCell ref="I146:J146"/>
    <mergeCell ref="C148:F148"/>
    <mergeCell ref="I148:J148"/>
    <mergeCell ref="C149:H149"/>
    <mergeCell ref="I149:J149"/>
    <mergeCell ref="H78:I78"/>
    <mergeCell ref="J78:K78"/>
    <mergeCell ref="H79:I79"/>
    <mergeCell ref="J79:K79"/>
    <mergeCell ref="C145:F145"/>
    <mergeCell ref="I145:J145"/>
    <mergeCell ref="H62:I62"/>
    <mergeCell ref="J62:K62"/>
    <mergeCell ref="H70:I70"/>
    <mergeCell ref="J70:K70"/>
    <mergeCell ref="H71:I71"/>
    <mergeCell ref="J71:K71"/>
    <mergeCell ref="H61:I61"/>
    <mergeCell ref="J61:K61"/>
    <mergeCell ref="F42:F45"/>
    <mergeCell ref="G42:G45"/>
    <mergeCell ref="H42:H45"/>
    <mergeCell ref="I42:I45"/>
    <mergeCell ref="J42:J45"/>
    <mergeCell ref="K42:K45"/>
    <mergeCell ref="C48:K48"/>
    <mergeCell ref="H56:I56"/>
    <mergeCell ref="J56:K56"/>
    <mergeCell ref="H57:I57"/>
    <mergeCell ref="J57:K57"/>
    <mergeCell ref="C30:K30"/>
    <mergeCell ref="C31:K31"/>
    <mergeCell ref="A33:K33"/>
    <mergeCell ref="A34:K34"/>
    <mergeCell ref="C35:K35"/>
    <mergeCell ref="A42:A45"/>
    <mergeCell ref="B42:B45"/>
    <mergeCell ref="C42:C45"/>
    <mergeCell ref="D42:D45"/>
    <mergeCell ref="E42:E45"/>
    <mergeCell ref="C29:K29"/>
    <mergeCell ref="G14:H14"/>
    <mergeCell ref="J14:K14"/>
    <mergeCell ref="J15:K15"/>
    <mergeCell ref="J16:K16"/>
    <mergeCell ref="G18:G19"/>
    <mergeCell ref="H18:H19"/>
    <mergeCell ref="I18:J18"/>
    <mergeCell ref="C20:F20"/>
    <mergeCell ref="C21:F21"/>
    <mergeCell ref="C22:F22"/>
    <mergeCell ref="C23:F23"/>
    <mergeCell ref="E26:F26"/>
    <mergeCell ref="C11:G11"/>
    <mergeCell ref="J11:K11"/>
    <mergeCell ref="C12:G12"/>
    <mergeCell ref="J12:K12"/>
    <mergeCell ref="C13:G13"/>
    <mergeCell ref="J13:K13"/>
    <mergeCell ref="C8:G8"/>
    <mergeCell ref="J8:K8"/>
    <mergeCell ref="C9:G9"/>
    <mergeCell ref="J9:K9"/>
    <mergeCell ref="C10:G10"/>
    <mergeCell ref="J10:K10"/>
    <mergeCell ref="C7:G7"/>
    <mergeCell ref="J7:K7"/>
    <mergeCell ref="H2:K2"/>
    <mergeCell ref="H3:K3"/>
    <mergeCell ref="H4:K4"/>
    <mergeCell ref="J5:K5"/>
    <mergeCell ref="J6:K6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6"/>
  <sheetViews>
    <sheetView tabSelected="1" topLeftCell="A4" zoomScaleNormal="100" zoomScaleSheetLayoutView="85" workbookViewId="0">
      <selection activeCell="G42" sqref="G42"/>
    </sheetView>
  </sheetViews>
  <sheetFormatPr defaultColWidth="9.140625" defaultRowHeight="16.5" x14ac:dyDescent="0.3"/>
  <cols>
    <col min="1" max="1" width="5" style="205" customWidth="1"/>
    <col min="2" max="2" width="9.42578125" style="205" customWidth="1"/>
    <col min="3" max="3" width="52.42578125" style="211" customWidth="1"/>
    <col min="4" max="4" width="11.5703125" style="211" bestFit="1" customWidth="1"/>
    <col min="5" max="5" width="11.42578125" style="211" customWidth="1"/>
    <col min="6" max="6" width="11.28515625" style="244" customWidth="1"/>
    <col min="7" max="7" width="16.85546875" style="244" customWidth="1"/>
    <col min="8" max="16384" width="9.140625" style="205"/>
  </cols>
  <sheetData>
    <row r="1" spans="1:7" x14ac:dyDescent="0.3">
      <c r="A1" s="203"/>
      <c r="B1" s="203"/>
      <c r="C1" s="204"/>
      <c r="D1" s="204"/>
      <c r="E1" s="392" t="s">
        <v>404</v>
      </c>
      <c r="F1" s="392"/>
      <c r="G1" s="392"/>
    </row>
    <row r="2" spans="1:7" ht="16.5" customHeight="1" x14ac:dyDescent="0.3">
      <c r="A2" s="203"/>
      <c r="B2" s="203"/>
      <c r="C2" s="204"/>
      <c r="D2" s="204"/>
      <c r="E2" s="393" t="s">
        <v>405</v>
      </c>
      <c r="F2" s="393"/>
      <c r="G2" s="393"/>
    </row>
    <row r="3" spans="1:7" ht="16.5" customHeight="1" x14ac:dyDescent="0.3">
      <c r="A3" s="203"/>
      <c r="B3" s="203"/>
      <c r="C3" s="204"/>
      <c r="D3" s="204"/>
      <c r="E3" s="206"/>
      <c r="F3" s="207"/>
      <c r="G3" s="208" t="s">
        <v>433</v>
      </c>
    </row>
    <row r="4" spans="1:7" x14ac:dyDescent="0.3">
      <c r="A4" s="203"/>
      <c r="B4" s="203"/>
      <c r="C4" s="204"/>
      <c r="D4" s="204"/>
      <c r="E4" s="209"/>
      <c r="F4" s="210"/>
      <c r="G4" s="208"/>
    </row>
    <row r="5" spans="1:7" x14ac:dyDescent="0.3">
      <c r="E5" s="212"/>
      <c r="F5" s="213"/>
      <c r="G5" s="214"/>
    </row>
    <row r="6" spans="1:7" ht="18.75" x14ac:dyDescent="0.3">
      <c r="A6" s="394" t="s">
        <v>406</v>
      </c>
      <c r="B6" s="394"/>
      <c r="C6" s="394"/>
      <c r="D6" s="394"/>
      <c r="E6" s="394"/>
      <c r="F6" s="394"/>
      <c r="G6" s="394"/>
    </row>
    <row r="7" spans="1:7" ht="18.75" x14ac:dyDescent="0.3">
      <c r="A7" s="215"/>
      <c r="B7" s="215"/>
      <c r="C7" s="216"/>
      <c r="D7" s="216"/>
      <c r="E7" s="216"/>
      <c r="F7" s="395"/>
      <c r="G7" s="395"/>
    </row>
    <row r="8" spans="1:7" s="307" customFormat="1" ht="54" customHeight="1" x14ac:dyDescent="0.2">
      <c r="A8" s="306" t="s">
        <v>224</v>
      </c>
      <c r="B8" s="306"/>
      <c r="C8" s="396" t="s">
        <v>468</v>
      </c>
      <c r="D8" s="396"/>
      <c r="E8" s="396"/>
      <c r="F8" s="396"/>
      <c r="G8" s="396"/>
    </row>
    <row r="9" spans="1:7" s="307" customFormat="1" ht="57.75" customHeight="1" x14ac:dyDescent="0.2">
      <c r="A9" s="403" t="s">
        <v>431</v>
      </c>
      <c r="B9" s="403"/>
      <c r="C9" s="403" t="s">
        <v>469</v>
      </c>
      <c r="D9" s="403"/>
      <c r="E9" s="403"/>
      <c r="F9" s="403"/>
      <c r="G9" s="403"/>
    </row>
    <row r="10" spans="1:7" x14ac:dyDescent="0.3">
      <c r="A10" s="217" t="s">
        <v>407</v>
      </c>
      <c r="B10" s="218"/>
      <c r="C10" s="219"/>
      <c r="D10" s="219"/>
      <c r="E10" s="219"/>
      <c r="F10" s="220"/>
      <c r="G10" s="221"/>
    </row>
    <row r="11" spans="1:7" s="224" customFormat="1" x14ac:dyDescent="0.3">
      <c r="A11" s="222"/>
      <c r="B11" s="223"/>
      <c r="C11" s="404" t="s">
        <v>408</v>
      </c>
      <c r="D11" s="404"/>
      <c r="E11" s="404"/>
      <c r="F11" s="404"/>
      <c r="G11" s="404"/>
    </row>
    <row r="12" spans="1:7" s="224" customFormat="1" x14ac:dyDescent="0.3">
      <c r="A12" s="222"/>
      <c r="B12" s="223"/>
      <c r="C12" s="225" t="s">
        <v>409</v>
      </c>
      <c r="D12" s="225"/>
      <c r="E12" s="225"/>
      <c r="F12" s="226"/>
      <c r="G12" s="226"/>
    </row>
    <row r="13" spans="1:7" x14ac:dyDescent="0.3">
      <c r="A13" s="227"/>
      <c r="B13" s="227"/>
      <c r="C13" s="228"/>
      <c r="D13" s="228"/>
      <c r="E13" s="228"/>
      <c r="F13" s="221"/>
      <c r="G13" s="221"/>
    </row>
    <row r="14" spans="1:7" s="198" customFormat="1" ht="12.75" x14ac:dyDescent="0.2">
      <c r="A14" s="409" t="s">
        <v>513</v>
      </c>
      <c r="B14" s="410" t="s">
        <v>256</v>
      </c>
      <c r="C14" s="409" t="s">
        <v>257</v>
      </c>
      <c r="D14" s="409" t="s">
        <v>410</v>
      </c>
      <c r="E14" s="409" t="s">
        <v>411</v>
      </c>
      <c r="F14" s="405" t="s">
        <v>412</v>
      </c>
      <c r="G14" s="405" t="s">
        <v>413</v>
      </c>
    </row>
    <row r="15" spans="1:7" s="229" customFormat="1" ht="11.25" x14ac:dyDescent="0.2">
      <c r="A15" s="409"/>
      <c r="B15" s="411"/>
      <c r="C15" s="409"/>
      <c r="D15" s="409"/>
      <c r="E15" s="409"/>
      <c r="F15" s="406"/>
      <c r="G15" s="406"/>
    </row>
    <row r="16" spans="1:7" s="211" customFormat="1" x14ac:dyDescent="0.3">
      <c r="A16" s="230">
        <v>1</v>
      </c>
      <c r="B16" s="230">
        <v>2</v>
      </c>
      <c r="C16" s="230">
        <v>3</v>
      </c>
      <c r="D16" s="230">
        <v>4</v>
      </c>
      <c r="E16" s="230">
        <v>5</v>
      </c>
      <c r="F16" s="231">
        <v>6</v>
      </c>
      <c r="G16" s="231">
        <v>7</v>
      </c>
    </row>
    <row r="17" spans="1:255" s="271" customFormat="1" ht="20.25" customHeight="1" x14ac:dyDescent="0.3">
      <c r="A17" s="407" t="s">
        <v>454</v>
      </c>
      <c r="B17" s="407"/>
      <c r="C17" s="407"/>
      <c r="D17" s="407"/>
      <c r="E17" s="407"/>
      <c r="F17" s="407"/>
      <c r="G17" s="408"/>
      <c r="H17" s="270"/>
      <c r="I17" s="270"/>
      <c r="J17" s="270"/>
      <c r="K17" s="270"/>
    </row>
    <row r="18" spans="1:255" s="271" customFormat="1" ht="20.25" customHeight="1" x14ac:dyDescent="0.3">
      <c r="A18" s="397" t="s">
        <v>434</v>
      </c>
      <c r="B18" s="397"/>
      <c r="C18" s="398" t="s">
        <v>441</v>
      </c>
      <c r="D18" s="398"/>
      <c r="E18" s="398"/>
      <c r="F18" s="398"/>
      <c r="G18" s="398"/>
      <c r="H18" s="270"/>
      <c r="I18" s="270"/>
      <c r="J18" s="270"/>
      <c r="K18" s="270"/>
    </row>
    <row r="19" spans="1:255" s="254" customFormat="1" ht="47.25" x14ac:dyDescent="0.2">
      <c r="A19" s="101">
        <v>43</v>
      </c>
      <c r="B19" s="109" t="s">
        <v>442</v>
      </c>
      <c r="C19" s="102" t="s">
        <v>455</v>
      </c>
      <c r="D19" s="103" t="s">
        <v>443</v>
      </c>
      <c r="E19" s="104">
        <v>0.28299999999999997</v>
      </c>
      <c r="F19" s="251"/>
      <c r="G19" s="252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  <c r="BR19" s="253"/>
      <c r="BS19" s="253"/>
      <c r="BT19" s="253"/>
      <c r="BU19" s="253"/>
      <c r="BV19" s="253"/>
      <c r="BW19" s="253"/>
      <c r="BX19" s="253"/>
      <c r="BY19" s="253"/>
      <c r="BZ19" s="253"/>
      <c r="CA19" s="253"/>
      <c r="CB19" s="253"/>
      <c r="CC19" s="253"/>
      <c r="CD19" s="253"/>
      <c r="CE19" s="253"/>
      <c r="CF19" s="253"/>
      <c r="CG19" s="253"/>
      <c r="CH19" s="253"/>
      <c r="CI19" s="253"/>
      <c r="CJ19" s="253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3"/>
      <c r="DE19" s="253"/>
      <c r="DF19" s="253"/>
      <c r="DG19" s="253"/>
      <c r="DH19" s="253"/>
      <c r="DI19" s="253"/>
      <c r="DJ19" s="253"/>
      <c r="DK19" s="253"/>
      <c r="DL19" s="253"/>
      <c r="DM19" s="253"/>
      <c r="DN19" s="253"/>
      <c r="DO19" s="253"/>
      <c r="DP19" s="253"/>
      <c r="DQ19" s="253"/>
      <c r="DR19" s="253"/>
      <c r="DS19" s="253"/>
      <c r="DT19" s="253"/>
      <c r="DU19" s="253"/>
      <c r="DV19" s="253"/>
      <c r="DW19" s="253"/>
      <c r="DX19" s="253"/>
      <c r="DY19" s="253"/>
      <c r="DZ19" s="253"/>
      <c r="EA19" s="253"/>
      <c r="EB19" s="253"/>
      <c r="EC19" s="253"/>
      <c r="ED19" s="253"/>
      <c r="EE19" s="253"/>
      <c r="EF19" s="253"/>
      <c r="EG19" s="253"/>
      <c r="EH19" s="253"/>
      <c r="EI19" s="253"/>
      <c r="EJ19" s="253"/>
      <c r="EK19" s="253"/>
      <c r="EL19" s="253"/>
      <c r="EM19" s="253"/>
      <c r="EN19" s="253"/>
      <c r="EO19" s="253"/>
      <c r="EP19" s="253"/>
      <c r="EQ19" s="253"/>
      <c r="ER19" s="253"/>
      <c r="ES19" s="253"/>
      <c r="ET19" s="253"/>
      <c r="EU19" s="253"/>
      <c r="EV19" s="253"/>
      <c r="EW19" s="253"/>
      <c r="EX19" s="253"/>
      <c r="EY19" s="253"/>
      <c r="EZ19" s="253"/>
      <c r="FA19" s="253"/>
      <c r="FB19" s="253"/>
      <c r="FC19" s="253"/>
      <c r="FD19" s="253"/>
      <c r="FE19" s="253"/>
      <c r="FF19" s="253"/>
      <c r="FG19" s="253"/>
      <c r="FH19" s="253"/>
      <c r="FI19" s="253"/>
      <c r="FJ19" s="253"/>
      <c r="FK19" s="253"/>
      <c r="FL19" s="253"/>
      <c r="FM19" s="253"/>
      <c r="FN19" s="253"/>
      <c r="FO19" s="253"/>
      <c r="FP19" s="253"/>
      <c r="FQ19" s="253"/>
      <c r="FR19" s="253"/>
      <c r="FS19" s="253"/>
      <c r="FT19" s="253"/>
      <c r="FU19" s="253"/>
      <c r="FV19" s="253"/>
      <c r="FW19" s="253"/>
      <c r="FX19" s="253"/>
      <c r="FY19" s="253"/>
      <c r="FZ19" s="253"/>
      <c r="GA19" s="253"/>
      <c r="GB19" s="253"/>
      <c r="GC19" s="253"/>
      <c r="GD19" s="253"/>
      <c r="GE19" s="253"/>
      <c r="GF19" s="253"/>
      <c r="GG19" s="253"/>
      <c r="GH19" s="253"/>
      <c r="GI19" s="253"/>
      <c r="GJ19" s="253"/>
      <c r="GK19" s="253"/>
      <c r="GL19" s="253"/>
      <c r="GM19" s="253"/>
      <c r="GN19" s="253"/>
      <c r="GO19" s="253"/>
      <c r="GP19" s="253"/>
      <c r="GQ19" s="253"/>
      <c r="GR19" s="253"/>
      <c r="GS19" s="253"/>
      <c r="GT19" s="253"/>
      <c r="GU19" s="253"/>
      <c r="GV19" s="253"/>
      <c r="GW19" s="253"/>
      <c r="GX19" s="253"/>
      <c r="GY19" s="253"/>
      <c r="GZ19" s="253"/>
      <c r="HA19" s="253"/>
      <c r="HB19" s="253"/>
      <c r="HC19" s="253"/>
      <c r="HD19" s="253"/>
      <c r="HE19" s="253"/>
      <c r="HF19" s="253"/>
      <c r="HG19" s="253"/>
      <c r="HH19" s="253"/>
      <c r="HI19" s="253"/>
      <c r="HJ19" s="253"/>
      <c r="HK19" s="253"/>
      <c r="HL19" s="253"/>
      <c r="HM19" s="253"/>
      <c r="HN19" s="253"/>
      <c r="HO19" s="253"/>
      <c r="HP19" s="253"/>
      <c r="HQ19" s="253"/>
      <c r="HR19" s="253"/>
      <c r="HS19" s="253"/>
      <c r="HT19" s="253"/>
      <c r="HU19" s="253"/>
      <c r="HV19" s="253"/>
      <c r="HW19" s="253"/>
      <c r="HX19" s="253"/>
      <c r="HY19" s="253"/>
      <c r="HZ19" s="253"/>
      <c r="IA19" s="253"/>
      <c r="IB19" s="253"/>
      <c r="IC19" s="253"/>
      <c r="ID19" s="253"/>
      <c r="IE19" s="253"/>
      <c r="IF19" s="253"/>
      <c r="IG19" s="253"/>
      <c r="IH19" s="253"/>
      <c r="II19" s="253"/>
      <c r="IJ19" s="253"/>
      <c r="IK19" s="253"/>
      <c r="IL19" s="253"/>
      <c r="IM19" s="253"/>
      <c r="IN19" s="253"/>
      <c r="IO19" s="253"/>
      <c r="IP19" s="253"/>
      <c r="IQ19" s="253"/>
      <c r="IR19" s="253"/>
      <c r="IS19" s="253"/>
      <c r="IT19" s="253"/>
      <c r="IU19" s="253"/>
    </row>
    <row r="20" spans="1:255" s="254" customFormat="1" ht="24" x14ac:dyDescent="0.2">
      <c r="A20" s="255" t="s">
        <v>470</v>
      </c>
      <c r="B20" s="256" t="s">
        <v>452</v>
      </c>
      <c r="C20" s="257" t="s">
        <v>451</v>
      </c>
      <c r="D20" s="258" t="s">
        <v>430</v>
      </c>
      <c r="E20" s="259">
        <v>56.6</v>
      </c>
      <c r="F20" s="260"/>
      <c r="G20" s="261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>
        <v>324300</v>
      </c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  <c r="BR20" s="253"/>
      <c r="BS20" s="253"/>
      <c r="BT20" s="253"/>
      <c r="BU20" s="253"/>
      <c r="BV20" s="253"/>
      <c r="BW20" s="253"/>
      <c r="BX20" s="253"/>
      <c r="BY20" s="253"/>
      <c r="BZ20" s="253"/>
      <c r="CA20" s="253"/>
      <c r="CB20" s="253"/>
      <c r="CC20" s="253"/>
      <c r="CD20" s="253"/>
      <c r="CE20" s="253"/>
      <c r="CF20" s="253"/>
      <c r="CG20" s="253"/>
      <c r="CH20" s="253"/>
      <c r="CI20" s="253"/>
      <c r="CJ20" s="253"/>
      <c r="CK20" s="253"/>
      <c r="CL20" s="253"/>
      <c r="CM20" s="253"/>
      <c r="CN20" s="253"/>
      <c r="CO20" s="253"/>
      <c r="CP20" s="253"/>
      <c r="CQ20" s="253"/>
      <c r="CR20" s="253"/>
      <c r="CS20" s="253"/>
      <c r="CT20" s="253"/>
      <c r="CU20" s="253"/>
      <c r="CV20" s="253"/>
      <c r="CW20" s="253"/>
      <c r="CX20" s="253"/>
      <c r="CY20" s="253"/>
      <c r="CZ20" s="253"/>
      <c r="DA20" s="253"/>
      <c r="DB20" s="253"/>
      <c r="DC20" s="253"/>
      <c r="DD20" s="253"/>
      <c r="DE20" s="253"/>
      <c r="DF20" s="253"/>
      <c r="DG20" s="253"/>
      <c r="DH20" s="253"/>
      <c r="DI20" s="253">
        <v>644731.61</v>
      </c>
      <c r="DJ20" s="253"/>
      <c r="DK20" s="253"/>
      <c r="DL20" s="262">
        <v>644731.61</v>
      </c>
      <c r="DM20" s="253">
        <v>324300</v>
      </c>
      <c r="DN20" s="253"/>
      <c r="DO20" s="253"/>
      <c r="DP20" s="253"/>
      <c r="DQ20" s="253"/>
      <c r="DR20" s="253"/>
      <c r="DS20" s="253"/>
      <c r="DT20" s="253"/>
      <c r="DU20" s="253"/>
      <c r="DV20" s="253"/>
      <c r="DW20" s="253"/>
      <c r="DX20" s="253"/>
      <c r="DY20" s="253"/>
      <c r="DZ20" s="253"/>
      <c r="EA20" s="253"/>
      <c r="EB20" s="253"/>
      <c r="EC20" s="253"/>
      <c r="ED20" s="253"/>
      <c r="EE20" s="253"/>
      <c r="EF20" s="253"/>
      <c r="EG20" s="253"/>
      <c r="EH20" s="253"/>
      <c r="EI20" s="253"/>
      <c r="EJ20" s="253"/>
      <c r="EK20" s="253"/>
      <c r="EL20" s="253"/>
      <c r="EM20" s="253"/>
      <c r="EN20" s="253"/>
      <c r="EO20" s="253"/>
      <c r="EP20" s="253"/>
      <c r="EQ20" s="253"/>
      <c r="ER20" s="253"/>
      <c r="ES20" s="253"/>
      <c r="ET20" s="253"/>
      <c r="EU20" s="253"/>
      <c r="EV20" s="253"/>
      <c r="EW20" s="253"/>
      <c r="EX20" s="253"/>
      <c r="EY20" s="253"/>
      <c r="EZ20" s="253"/>
      <c r="FA20" s="253"/>
      <c r="FB20" s="253"/>
      <c r="FC20" s="253"/>
      <c r="FD20" s="253"/>
      <c r="FE20" s="253"/>
      <c r="FF20" s="253"/>
      <c r="FG20" s="253"/>
      <c r="FH20" s="253"/>
      <c r="FI20" s="253"/>
      <c r="FJ20" s="253"/>
      <c r="FK20" s="253"/>
      <c r="FL20" s="253"/>
      <c r="FM20" s="253"/>
      <c r="FN20" s="253"/>
      <c r="FO20" s="253"/>
      <c r="FP20" s="253"/>
      <c r="FQ20" s="253"/>
      <c r="FR20" s="253"/>
      <c r="FS20" s="253"/>
      <c r="FT20" s="253"/>
      <c r="FU20" s="253"/>
      <c r="FV20" s="253"/>
      <c r="FW20" s="253"/>
      <c r="FX20" s="253"/>
      <c r="FY20" s="253"/>
      <c r="FZ20" s="253"/>
      <c r="GA20" s="253"/>
      <c r="GB20" s="253"/>
      <c r="GC20" s="253"/>
      <c r="GD20" s="253"/>
      <c r="GE20" s="253"/>
      <c r="GF20" s="253"/>
      <c r="GG20" s="253"/>
      <c r="GH20" s="253"/>
      <c r="GI20" s="253"/>
      <c r="GJ20" s="253"/>
      <c r="GK20" s="253"/>
      <c r="GL20" s="253"/>
      <c r="GM20" s="253"/>
      <c r="GN20" s="253"/>
      <c r="GO20" s="253"/>
      <c r="GP20" s="253"/>
      <c r="GQ20" s="253"/>
      <c r="GR20" s="253"/>
      <c r="GS20" s="253"/>
      <c r="GT20" s="253"/>
      <c r="GU20" s="253"/>
      <c r="GV20" s="253"/>
      <c r="GW20" s="253"/>
      <c r="GX20" s="253"/>
      <c r="GY20" s="253"/>
      <c r="GZ20" s="253"/>
      <c r="HA20" s="253"/>
      <c r="HB20" s="253"/>
      <c r="HC20" s="253"/>
      <c r="HD20" s="253"/>
      <c r="HE20" s="253"/>
      <c r="HF20" s="253"/>
      <c r="HG20" s="253"/>
      <c r="HH20" s="253"/>
      <c r="HI20" s="253"/>
      <c r="HJ20" s="253"/>
      <c r="HK20" s="253"/>
      <c r="HL20" s="253"/>
      <c r="HM20" s="253"/>
      <c r="HN20" s="253"/>
      <c r="HO20" s="253"/>
      <c r="HP20" s="253"/>
      <c r="HQ20" s="253"/>
      <c r="HR20" s="253"/>
      <c r="HS20" s="253"/>
      <c r="HT20" s="253"/>
      <c r="HU20" s="253"/>
      <c r="HV20" s="253"/>
      <c r="HW20" s="253"/>
      <c r="HX20" s="253"/>
      <c r="HY20" s="253"/>
      <c r="HZ20" s="253"/>
      <c r="IA20" s="253"/>
      <c r="IB20" s="253"/>
      <c r="IC20" s="253"/>
      <c r="ID20" s="253"/>
      <c r="IE20" s="253"/>
      <c r="IF20" s="253"/>
      <c r="IG20" s="253"/>
      <c r="IH20" s="253"/>
      <c r="II20" s="253"/>
      <c r="IJ20" s="253"/>
      <c r="IK20" s="253"/>
      <c r="IL20" s="253"/>
      <c r="IM20" s="253"/>
      <c r="IN20" s="253"/>
      <c r="IO20" s="253"/>
      <c r="IP20" s="253"/>
      <c r="IQ20" s="253"/>
      <c r="IR20" s="253"/>
      <c r="IS20" s="253"/>
      <c r="IT20" s="253"/>
      <c r="IU20" s="253"/>
    </row>
    <row r="21" spans="1:255" s="254" customFormat="1" ht="24" x14ac:dyDescent="0.2">
      <c r="A21" s="263">
        <v>44</v>
      </c>
      <c r="B21" s="264" t="s">
        <v>456</v>
      </c>
      <c r="C21" s="265" t="s">
        <v>471</v>
      </c>
      <c r="D21" s="266" t="s">
        <v>430</v>
      </c>
      <c r="E21" s="267">
        <v>167.2</v>
      </c>
      <c r="F21" s="268"/>
      <c r="G21" s="269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>
        <v>466406</v>
      </c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  <c r="BR21" s="253"/>
      <c r="BS21" s="253"/>
      <c r="BT21" s="253"/>
      <c r="BU21" s="253"/>
      <c r="BV21" s="253"/>
      <c r="BW21" s="253"/>
      <c r="BX21" s="253"/>
      <c r="BY21" s="253"/>
      <c r="BZ21" s="253"/>
      <c r="CA21" s="253"/>
      <c r="CB21" s="253"/>
      <c r="CC21" s="253"/>
      <c r="CD21" s="253"/>
      <c r="CE21" s="253"/>
      <c r="CF21" s="253"/>
      <c r="CG21" s="253"/>
      <c r="CH21" s="253"/>
      <c r="CI21" s="253"/>
      <c r="CJ21" s="253"/>
      <c r="CK21" s="253"/>
      <c r="CL21" s="253"/>
      <c r="CM21" s="253"/>
      <c r="CN21" s="253"/>
      <c r="CO21" s="253"/>
      <c r="CP21" s="253"/>
      <c r="CQ21" s="253"/>
      <c r="CR21" s="253"/>
      <c r="CS21" s="253"/>
      <c r="CT21" s="253"/>
      <c r="CU21" s="253"/>
      <c r="CV21" s="253"/>
      <c r="CW21" s="253"/>
      <c r="CX21" s="253"/>
      <c r="CY21" s="253"/>
      <c r="CZ21" s="253"/>
      <c r="DA21" s="253"/>
      <c r="DB21" s="253"/>
      <c r="DC21" s="253"/>
      <c r="DD21" s="253"/>
      <c r="DE21" s="253"/>
      <c r="DF21" s="253"/>
      <c r="DG21" s="253"/>
      <c r="DH21" s="253"/>
      <c r="DI21" s="253">
        <v>1545.41</v>
      </c>
      <c r="DJ21" s="253"/>
      <c r="DK21" s="253"/>
      <c r="DL21" s="253"/>
      <c r="DM21" s="253"/>
      <c r="DN21" s="253"/>
      <c r="DO21" s="253"/>
      <c r="DP21" s="253"/>
      <c r="DQ21" s="253"/>
      <c r="DR21" s="253"/>
      <c r="DS21" s="253"/>
      <c r="DT21" s="253"/>
      <c r="DU21" s="253"/>
      <c r="DV21" s="253"/>
      <c r="DW21" s="253"/>
      <c r="DX21" s="253"/>
      <c r="DY21" s="253"/>
      <c r="DZ21" s="253"/>
      <c r="EA21" s="253"/>
      <c r="EB21" s="253"/>
      <c r="EC21" s="253"/>
      <c r="ED21" s="253"/>
      <c r="EE21" s="253"/>
      <c r="EF21" s="253"/>
      <c r="EG21" s="253"/>
      <c r="EH21" s="253"/>
      <c r="EI21" s="253"/>
      <c r="EJ21" s="253"/>
      <c r="EK21" s="253"/>
      <c r="EL21" s="253"/>
      <c r="EM21" s="253"/>
      <c r="EN21" s="253"/>
      <c r="EO21" s="253"/>
      <c r="EP21" s="253"/>
      <c r="EQ21" s="253"/>
      <c r="ER21" s="253"/>
      <c r="ES21" s="253"/>
      <c r="ET21" s="253"/>
      <c r="EU21" s="253"/>
      <c r="EV21" s="253"/>
      <c r="EW21" s="253"/>
      <c r="EX21" s="253"/>
      <c r="EY21" s="253"/>
      <c r="EZ21" s="253"/>
      <c r="FA21" s="253"/>
      <c r="FB21" s="253"/>
      <c r="FC21" s="253"/>
      <c r="FD21" s="253"/>
      <c r="FE21" s="253"/>
      <c r="FF21" s="253"/>
      <c r="FG21" s="253"/>
      <c r="FH21" s="253"/>
      <c r="FI21" s="253"/>
      <c r="FJ21" s="253"/>
      <c r="FK21" s="253"/>
      <c r="FL21" s="253"/>
      <c r="FM21" s="253"/>
      <c r="FN21" s="253"/>
      <c r="FO21" s="253"/>
      <c r="FP21" s="253"/>
      <c r="FQ21" s="253"/>
      <c r="FR21" s="253"/>
      <c r="FS21" s="253"/>
      <c r="FT21" s="253"/>
      <c r="FU21" s="253"/>
      <c r="FV21" s="253"/>
      <c r="FW21" s="253"/>
      <c r="FX21" s="253"/>
      <c r="FY21" s="253"/>
      <c r="FZ21" s="253"/>
      <c r="GA21" s="253"/>
      <c r="GB21" s="253"/>
      <c r="GC21" s="253"/>
      <c r="GD21" s="253"/>
      <c r="GE21" s="253"/>
      <c r="GF21" s="253"/>
      <c r="GG21" s="253"/>
      <c r="GH21" s="253"/>
      <c r="GI21" s="253"/>
      <c r="GJ21" s="253"/>
      <c r="GK21" s="253"/>
      <c r="GL21" s="253"/>
      <c r="GM21" s="253"/>
      <c r="GN21" s="253"/>
      <c r="GO21" s="253"/>
      <c r="GP21" s="253"/>
      <c r="GQ21" s="253"/>
      <c r="GR21" s="253"/>
      <c r="GS21" s="253"/>
      <c r="GT21" s="253"/>
      <c r="GU21" s="253"/>
      <c r="GV21" s="253"/>
      <c r="GW21" s="253"/>
      <c r="GX21" s="253"/>
      <c r="GY21" s="253"/>
      <c r="GZ21" s="253"/>
      <c r="HA21" s="253"/>
      <c r="HB21" s="253"/>
      <c r="HC21" s="253"/>
      <c r="HD21" s="253"/>
      <c r="HE21" s="253"/>
      <c r="HF21" s="253"/>
      <c r="HG21" s="253"/>
      <c r="HH21" s="253"/>
      <c r="HI21" s="253"/>
      <c r="HJ21" s="253"/>
      <c r="HK21" s="253"/>
      <c r="HL21" s="253"/>
      <c r="HM21" s="253"/>
      <c r="HN21" s="253"/>
      <c r="HO21" s="253"/>
      <c r="HP21" s="253"/>
      <c r="HQ21" s="253"/>
      <c r="HR21" s="253"/>
      <c r="HS21" s="253"/>
      <c r="HT21" s="253"/>
      <c r="HU21" s="253"/>
      <c r="HV21" s="253"/>
      <c r="HW21" s="253"/>
      <c r="HX21" s="253"/>
      <c r="HY21" s="253"/>
      <c r="HZ21" s="253"/>
      <c r="IA21" s="253"/>
      <c r="IB21" s="253"/>
      <c r="IC21" s="253"/>
      <c r="ID21" s="253"/>
      <c r="IE21" s="253"/>
      <c r="IF21" s="253"/>
      <c r="IG21" s="253"/>
      <c r="IH21" s="253"/>
      <c r="II21" s="253"/>
      <c r="IJ21" s="253"/>
      <c r="IK21" s="253"/>
      <c r="IL21" s="253"/>
      <c r="IM21" s="253"/>
      <c r="IN21" s="253"/>
      <c r="IO21" s="253"/>
      <c r="IP21" s="253"/>
      <c r="IQ21" s="253"/>
      <c r="IR21" s="253"/>
      <c r="IS21" s="253"/>
      <c r="IT21" s="253"/>
      <c r="IU21" s="253"/>
    </row>
    <row r="22" spans="1:255" s="254" customFormat="1" ht="22.5" x14ac:dyDescent="0.2">
      <c r="A22" s="246">
        <v>53</v>
      </c>
      <c r="B22" s="247" t="s">
        <v>449</v>
      </c>
      <c r="C22" s="248" t="s">
        <v>457</v>
      </c>
      <c r="D22" s="249" t="s">
        <v>450</v>
      </c>
      <c r="E22" s="250">
        <v>0.92</v>
      </c>
      <c r="F22" s="251"/>
      <c r="G22" s="252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3"/>
      <c r="CD22" s="253"/>
      <c r="CE22" s="253"/>
      <c r="CF22" s="253"/>
      <c r="CG22" s="253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3"/>
      <c r="DD22" s="253"/>
      <c r="DE22" s="253"/>
      <c r="DF22" s="253"/>
      <c r="DG22" s="253"/>
      <c r="DH22" s="253"/>
      <c r="DI22" s="253"/>
      <c r="DJ22" s="253"/>
      <c r="DK22" s="253"/>
      <c r="DL22" s="253"/>
      <c r="DM22" s="253"/>
      <c r="DN22" s="253"/>
      <c r="DO22" s="253"/>
      <c r="DP22" s="253"/>
      <c r="DQ22" s="253"/>
      <c r="DR22" s="253"/>
      <c r="DS22" s="253"/>
      <c r="DT22" s="253"/>
      <c r="DU22" s="253"/>
      <c r="DV22" s="253"/>
      <c r="DW22" s="253"/>
      <c r="DX22" s="253"/>
      <c r="DY22" s="253"/>
      <c r="DZ22" s="253"/>
      <c r="EA22" s="253"/>
      <c r="EB22" s="253"/>
      <c r="EC22" s="253"/>
      <c r="ED22" s="253"/>
      <c r="EE22" s="253"/>
      <c r="EF22" s="253"/>
      <c r="EG22" s="253"/>
      <c r="EH22" s="253"/>
      <c r="EI22" s="253"/>
      <c r="EJ22" s="253"/>
      <c r="EK22" s="253"/>
      <c r="EL22" s="253"/>
      <c r="EM22" s="253"/>
      <c r="EN22" s="253"/>
      <c r="EO22" s="253"/>
      <c r="EP22" s="253"/>
      <c r="EQ22" s="253"/>
      <c r="ER22" s="253"/>
      <c r="ES22" s="253"/>
      <c r="ET22" s="253"/>
      <c r="EU22" s="253"/>
      <c r="EV22" s="253"/>
      <c r="EW22" s="253"/>
      <c r="EX22" s="253"/>
      <c r="EY22" s="253"/>
      <c r="EZ22" s="253"/>
      <c r="FA22" s="253"/>
      <c r="FB22" s="253"/>
      <c r="FC22" s="253"/>
      <c r="FD22" s="253"/>
      <c r="FE22" s="253"/>
      <c r="FF22" s="253"/>
      <c r="FG22" s="253"/>
      <c r="FH22" s="253"/>
      <c r="FI22" s="253"/>
      <c r="FJ22" s="253"/>
      <c r="FK22" s="253"/>
      <c r="FL22" s="253"/>
      <c r="FM22" s="253"/>
      <c r="FN22" s="253"/>
      <c r="FO22" s="253"/>
      <c r="FP22" s="253"/>
      <c r="FQ22" s="253"/>
      <c r="FR22" s="253"/>
      <c r="FS22" s="253"/>
      <c r="FT22" s="253"/>
      <c r="FU22" s="253"/>
      <c r="FV22" s="253"/>
      <c r="FW22" s="253"/>
      <c r="FX22" s="253"/>
      <c r="FY22" s="253"/>
      <c r="FZ22" s="253"/>
      <c r="GA22" s="253"/>
      <c r="GB22" s="253"/>
      <c r="GC22" s="253"/>
      <c r="GD22" s="253"/>
      <c r="GE22" s="253"/>
      <c r="GF22" s="253"/>
      <c r="GG22" s="253"/>
      <c r="GH22" s="253"/>
      <c r="GI22" s="253"/>
      <c r="GJ22" s="253"/>
      <c r="GK22" s="253"/>
      <c r="GL22" s="253"/>
      <c r="GM22" s="253"/>
      <c r="GN22" s="253"/>
      <c r="GO22" s="253"/>
      <c r="GP22" s="253"/>
      <c r="GQ22" s="253"/>
      <c r="GR22" s="253"/>
      <c r="GS22" s="253"/>
      <c r="GT22" s="253"/>
      <c r="GU22" s="253"/>
      <c r="GV22" s="253"/>
      <c r="GW22" s="253"/>
      <c r="GX22" s="253"/>
      <c r="GY22" s="253"/>
      <c r="GZ22" s="253"/>
      <c r="HA22" s="253"/>
      <c r="HB22" s="253"/>
      <c r="HC22" s="253"/>
      <c r="HD22" s="253"/>
      <c r="HE22" s="253"/>
      <c r="HF22" s="253"/>
      <c r="HG22" s="253"/>
      <c r="HH22" s="253"/>
      <c r="HI22" s="253"/>
      <c r="HJ22" s="253"/>
      <c r="HK22" s="253"/>
      <c r="HL22" s="253"/>
      <c r="HM22" s="253"/>
      <c r="HN22" s="253"/>
      <c r="HO22" s="253"/>
      <c r="HP22" s="253"/>
      <c r="HQ22" s="253"/>
      <c r="HR22" s="253"/>
      <c r="HS22" s="253"/>
      <c r="HT22" s="253"/>
      <c r="HU22" s="253"/>
      <c r="HV22" s="253"/>
      <c r="HW22" s="253"/>
      <c r="HX22" s="253"/>
      <c r="HY22" s="253"/>
      <c r="HZ22" s="253"/>
      <c r="IA22" s="253"/>
      <c r="IB22" s="253"/>
      <c r="IC22" s="253"/>
      <c r="ID22" s="253"/>
      <c r="IE22" s="253"/>
      <c r="IF22" s="253"/>
      <c r="IG22" s="253"/>
      <c r="IH22" s="253"/>
      <c r="II22" s="253"/>
      <c r="IJ22" s="253"/>
      <c r="IK22" s="253"/>
      <c r="IL22" s="253"/>
      <c r="IM22" s="253"/>
      <c r="IN22" s="253"/>
      <c r="IO22" s="253"/>
      <c r="IP22" s="253"/>
      <c r="IQ22" s="253"/>
      <c r="IR22" s="253"/>
      <c r="IS22" s="253"/>
      <c r="IT22" s="253"/>
      <c r="IU22" s="253"/>
    </row>
    <row r="23" spans="1:255" s="254" customFormat="1" ht="56.25" x14ac:dyDescent="0.2">
      <c r="A23" s="101">
        <v>45</v>
      </c>
      <c r="B23" s="109" t="s">
        <v>458</v>
      </c>
      <c r="C23" s="102" t="s">
        <v>472</v>
      </c>
      <c r="D23" s="103" t="s">
        <v>459</v>
      </c>
      <c r="E23" s="104">
        <v>0.3</v>
      </c>
      <c r="F23" s="251"/>
      <c r="G23" s="252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  <c r="BI23" s="253"/>
      <c r="BJ23" s="253"/>
      <c r="BK23" s="253"/>
      <c r="BL23" s="253"/>
      <c r="BM23" s="253"/>
      <c r="BN23" s="253"/>
      <c r="BO23" s="253"/>
      <c r="BP23" s="253"/>
      <c r="BQ23" s="253"/>
      <c r="BR23" s="253"/>
      <c r="BS23" s="253"/>
      <c r="BT23" s="253"/>
      <c r="BU23" s="253"/>
      <c r="BV23" s="253"/>
      <c r="BW23" s="253"/>
      <c r="BX23" s="253"/>
      <c r="BY23" s="253"/>
      <c r="BZ23" s="253"/>
      <c r="CA23" s="253"/>
      <c r="CB23" s="253"/>
      <c r="CC23" s="253"/>
      <c r="CD23" s="253"/>
      <c r="CE23" s="253"/>
      <c r="CF23" s="253"/>
      <c r="CG23" s="253"/>
      <c r="CH23" s="253"/>
      <c r="CI23" s="253"/>
      <c r="CJ23" s="253"/>
      <c r="CK23" s="253"/>
      <c r="CL23" s="253"/>
      <c r="CM23" s="253"/>
      <c r="CN23" s="253"/>
      <c r="CO23" s="253"/>
      <c r="CP23" s="253"/>
      <c r="CQ23" s="253"/>
      <c r="CR23" s="253"/>
      <c r="CS23" s="253"/>
      <c r="CT23" s="253"/>
      <c r="CU23" s="253"/>
      <c r="CV23" s="253"/>
      <c r="CW23" s="253"/>
      <c r="CX23" s="253"/>
      <c r="CY23" s="253"/>
      <c r="CZ23" s="253"/>
      <c r="DA23" s="253"/>
      <c r="DB23" s="253"/>
      <c r="DC23" s="253"/>
      <c r="DD23" s="253"/>
      <c r="DE23" s="253"/>
      <c r="DF23" s="253"/>
      <c r="DG23" s="253"/>
      <c r="DH23" s="253"/>
      <c r="DI23" s="253"/>
      <c r="DJ23" s="253"/>
      <c r="DK23" s="253"/>
      <c r="DL23" s="253"/>
      <c r="DM23" s="253"/>
      <c r="DN23" s="253"/>
      <c r="DO23" s="253"/>
      <c r="DP23" s="253"/>
      <c r="DQ23" s="253"/>
      <c r="DR23" s="253"/>
      <c r="DS23" s="253"/>
      <c r="DT23" s="253"/>
      <c r="DU23" s="253"/>
      <c r="DV23" s="253"/>
      <c r="DW23" s="253"/>
      <c r="DX23" s="253"/>
      <c r="DY23" s="253"/>
      <c r="DZ23" s="253"/>
      <c r="EA23" s="253"/>
      <c r="EB23" s="253"/>
      <c r="EC23" s="253"/>
      <c r="ED23" s="253"/>
      <c r="EE23" s="253"/>
      <c r="EF23" s="253"/>
      <c r="EG23" s="253"/>
      <c r="EH23" s="253"/>
      <c r="EI23" s="253"/>
      <c r="EJ23" s="253"/>
      <c r="EK23" s="253"/>
      <c r="EL23" s="253"/>
      <c r="EM23" s="253"/>
      <c r="EN23" s="253"/>
      <c r="EO23" s="253"/>
      <c r="EP23" s="253"/>
      <c r="EQ23" s="253"/>
      <c r="ER23" s="253"/>
      <c r="ES23" s="253"/>
      <c r="ET23" s="253"/>
      <c r="EU23" s="253"/>
      <c r="EV23" s="253"/>
      <c r="EW23" s="253"/>
      <c r="EX23" s="253"/>
      <c r="EY23" s="253"/>
      <c r="EZ23" s="253"/>
      <c r="FA23" s="253"/>
      <c r="FB23" s="253"/>
      <c r="FC23" s="253"/>
      <c r="FD23" s="253"/>
      <c r="FE23" s="253"/>
      <c r="FF23" s="253"/>
      <c r="FG23" s="253"/>
      <c r="FH23" s="253"/>
      <c r="FI23" s="253"/>
      <c r="FJ23" s="253"/>
      <c r="FK23" s="253"/>
      <c r="FL23" s="253"/>
      <c r="FM23" s="253"/>
      <c r="FN23" s="253"/>
      <c r="FO23" s="253"/>
      <c r="FP23" s="253"/>
      <c r="FQ23" s="253"/>
      <c r="FR23" s="253"/>
      <c r="FS23" s="253"/>
      <c r="FT23" s="253"/>
      <c r="FU23" s="253"/>
      <c r="FV23" s="253"/>
      <c r="FW23" s="253"/>
      <c r="FX23" s="253"/>
      <c r="FY23" s="253"/>
      <c r="FZ23" s="253"/>
      <c r="GA23" s="253"/>
      <c r="GB23" s="253"/>
      <c r="GC23" s="253"/>
      <c r="GD23" s="253"/>
      <c r="GE23" s="253"/>
      <c r="GF23" s="253"/>
      <c r="GG23" s="253"/>
      <c r="GH23" s="253"/>
      <c r="GI23" s="253"/>
      <c r="GJ23" s="253"/>
      <c r="GK23" s="253"/>
      <c r="GL23" s="253"/>
      <c r="GM23" s="253"/>
      <c r="GN23" s="253"/>
      <c r="GO23" s="253"/>
      <c r="GP23" s="253"/>
      <c r="GQ23" s="253"/>
      <c r="GR23" s="253"/>
      <c r="GS23" s="253"/>
      <c r="GT23" s="253"/>
      <c r="GU23" s="253"/>
      <c r="GV23" s="253"/>
      <c r="GW23" s="253"/>
      <c r="GX23" s="253"/>
      <c r="GY23" s="253"/>
      <c r="GZ23" s="253"/>
      <c r="HA23" s="253"/>
      <c r="HB23" s="253"/>
      <c r="HC23" s="253"/>
      <c r="HD23" s="253"/>
      <c r="HE23" s="253"/>
      <c r="HF23" s="253"/>
      <c r="HG23" s="253"/>
      <c r="HH23" s="253"/>
      <c r="HI23" s="253"/>
      <c r="HJ23" s="253"/>
      <c r="HK23" s="253"/>
      <c r="HL23" s="253"/>
      <c r="HM23" s="253"/>
      <c r="HN23" s="253"/>
      <c r="HO23" s="253"/>
      <c r="HP23" s="253"/>
      <c r="HQ23" s="253"/>
      <c r="HR23" s="253"/>
      <c r="HS23" s="253"/>
      <c r="HT23" s="253"/>
      <c r="HU23" s="253"/>
      <c r="HV23" s="253"/>
      <c r="HW23" s="253"/>
      <c r="HX23" s="253"/>
      <c r="HY23" s="253"/>
      <c r="HZ23" s="253"/>
      <c r="IA23" s="253"/>
      <c r="IB23" s="253"/>
      <c r="IC23" s="253"/>
      <c r="ID23" s="253"/>
      <c r="IE23" s="253"/>
      <c r="IF23" s="253"/>
      <c r="IG23" s="253"/>
      <c r="IH23" s="253"/>
      <c r="II23" s="253"/>
      <c r="IJ23" s="253"/>
      <c r="IK23" s="253"/>
      <c r="IL23" s="253"/>
      <c r="IM23" s="253"/>
      <c r="IN23" s="253"/>
      <c r="IO23" s="253"/>
      <c r="IP23" s="253"/>
      <c r="IQ23" s="253"/>
      <c r="IR23" s="253"/>
      <c r="IS23" s="253"/>
      <c r="IT23" s="253"/>
      <c r="IU23" s="253"/>
    </row>
    <row r="24" spans="1:255" s="254" customFormat="1" ht="24" x14ac:dyDescent="0.2">
      <c r="A24" s="263" t="s">
        <v>473</v>
      </c>
      <c r="B24" s="264" t="s">
        <v>460</v>
      </c>
      <c r="C24" s="265" t="s">
        <v>461</v>
      </c>
      <c r="D24" s="266" t="s">
        <v>194</v>
      </c>
      <c r="E24" s="267">
        <v>2.7000000000000001E-3</v>
      </c>
      <c r="F24" s="268"/>
      <c r="G24" s="269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>
        <v>70</v>
      </c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3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3"/>
      <c r="CY24" s="253"/>
      <c r="CZ24" s="253"/>
      <c r="DA24" s="253"/>
      <c r="DB24" s="253"/>
      <c r="DC24" s="253"/>
      <c r="DD24" s="253"/>
      <c r="DE24" s="253"/>
      <c r="DF24" s="253"/>
      <c r="DG24" s="253"/>
      <c r="DH24" s="253"/>
      <c r="DI24" s="253">
        <v>34.31</v>
      </c>
      <c r="DJ24" s="253"/>
      <c r="DK24" s="253"/>
      <c r="DL24" s="262">
        <v>34.31</v>
      </c>
      <c r="DM24" s="253">
        <v>70</v>
      </c>
      <c r="DN24" s="253"/>
      <c r="DO24" s="253"/>
      <c r="DP24" s="253"/>
      <c r="DQ24" s="253"/>
      <c r="DR24" s="253"/>
      <c r="DS24" s="253"/>
      <c r="DT24" s="253"/>
      <c r="DU24" s="253"/>
      <c r="DV24" s="253"/>
      <c r="DW24" s="253"/>
      <c r="DX24" s="253"/>
      <c r="DY24" s="253"/>
      <c r="DZ24" s="253"/>
      <c r="EA24" s="253"/>
      <c r="EB24" s="253"/>
      <c r="EC24" s="253"/>
      <c r="ED24" s="253"/>
      <c r="EE24" s="253"/>
      <c r="EF24" s="253"/>
      <c r="EG24" s="253"/>
      <c r="EH24" s="253"/>
      <c r="EI24" s="253"/>
      <c r="EJ24" s="253"/>
      <c r="EK24" s="253"/>
      <c r="EL24" s="253"/>
      <c r="EM24" s="253"/>
      <c r="EN24" s="253"/>
      <c r="EO24" s="253"/>
      <c r="EP24" s="253"/>
      <c r="EQ24" s="253"/>
      <c r="ER24" s="253"/>
      <c r="ES24" s="253"/>
      <c r="ET24" s="253"/>
      <c r="EU24" s="253"/>
      <c r="EV24" s="253"/>
      <c r="EW24" s="253"/>
      <c r="EX24" s="253"/>
      <c r="EY24" s="253"/>
      <c r="EZ24" s="253"/>
      <c r="FA24" s="253"/>
      <c r="FB24" s="253"/>
      <c r="FC24" s="253"/>
      <c r="FD24" s="253"/>
      <c r="FE24" s="253"/>
      <c r="FF24" s="253"/>
      <c r="FG24" s="253"/>
      <c r="FH24" s="253"/>
      <c r="FI24" s="253"/>
      <c r="FJ24" s="253"/>
      <c r="FK24" s="253"/>
      <c r="FL24" s="253"/>
      <c r="FM24" s="253"/>
      <c r="FN24" s="253"/>
      <c r="FO24" s="253"/>
      <c r="FP24" s="253"/>
      <c r="FQ24" s="253"/>
      <c r="FR24" s="253"/>
      <c r="FS24" s="253"/>
      <c r="FT24" s="253"/>
      <c r="FU24" s="253"/>
      <c r="FV24" s="253"/>
      <c r="FW24" s="253"/>
      <c r="FX24" s="253"/>
      <c r="FY24" s="253"/>
      <c r="FZ24" s="253"/>
      <c r="GA24" s="253"/>
      <c r="GB24" s="253"/>
      <c r="GC24" s="253"/>
      <c r="GD24" s="253"/>
      <c r="GE24" s="253"/>
      <c r="GF24" s="253"/>
      <c r="GG24" s="253"/>
      <c r="GH24" s="253"/>
      <c r="GI24" s="253"/>
      <c r="GJ24" s="253"/>
      <c r="GK24" s="253"/>
      <c r="GL24" s="253"/>
      <c r="GM24" s="253"/>
      <c r="GN24" s="253"/>
      <c r="GO24" s="253"/>
      <c r="GP24" s="253"/>
      <c r="GQ24" s="253"/>
      <c r="GR24" s="253"/>
      <c r="GS24" s="253"/>
      <c r="GT24" s="253"/>
      <c r="GU24" s="253"/>
      <c r="GV24" s="253"/>
      <c r="GW24" s="253"/>
      <c r="GX24" s="253"/>
      <c r="GY24" s="253"/>
      <c r="GZ24" s="253"/>
      <c r="HA24" s="253"/>
      <c r="HB24" s="253"/>
      <c r="HC24" s="253"/>
      <c r="HD24" s="253"/>
      <c r="HE24" s="253"/>
      <c r="HF24" s="253"/>
      <c r="HG24" s="253"/>
      <c r="HH24" s="253"/>
      <c r="HI24" s="253"/>
      <c r="HJ24" s="253"/>
      <c r="HK24" s="253"/>
      <c r="HL24" s="253"/>
      <c r="HM24" s="253"/>
      <c r="HN24" s="253"/>
      <c r="HO24" s="253"/>
      <c r="HP24" s="253"/>
      <c r="HQ24" s="253"/>
      <c r="HR24" s="253"/>
      <c r="HS24" s="253"/>
      <c r="HT24" s="253"/>
      <c r="HU24" s="253"/>
      <c r="HV24" s="253"/>
      <c r="HW24" s="253"/>
      <c r="HX24" s="253"/>
      <c r="HY24" s="253"/>
      <c r="HZ24" s="253"/>
      <c r="IA24" s="253"/>
      <c r="IB24" s="253"/>
      <c r="IC24" s="253"/>
      <c r="ID24" s="253"/>
      <c r="IE24" s="253"/>
      <c r="IF24" s="253"/>
      <c r="IG24" s="253"/>
      <c r="IH24" s="253"/>
      <c r="II24" s="253"/>
      <c r="IJ24" s="253"/>
      <c r="IK24" s="253"/>
      <c r="IL24" s="253"/>
      <c r="IM24" s="253"/>
      <c r="IN24" s="253"/>
      <c r="IO24" s="253"/>
      <c r="IP24" s="253"/>
      <c r="IQ24" s="253"/>
      <c r="IR24" s="253"/>
      <c r="IS24" s="253"/>
      <c r="IT24" s="253"/>
      <c r="IU24" s="253"/>
    </row>
    <row r="25" spans="1:255" s="254" customFormat="1" ht="24" x14ac:dyDescent="0.2">
      <c r="A25" s="263" t="s">
        <v>474</v>
      </c>
      <c r="B25" s="264" t="s">
        <v>462</v>
      </c>
      <c r="C25" s="265" t="s">
        <v>463</v>
      </c>
      <c r="D25" s="266" t="s">
        <v>464</v>
      </c>
      <c r="E25" s="267">
        <v>1.0500000000000001E-2</v>
      </c>
      <c r="F25" s="268"/>
      <c r="G25" s="269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>
        <v>590</v>
      </c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3"/>
      <c r="DE25" s="253"/>
      <c r="DF25" s="253"/>
      <c r="DG25" s="253"/>
      <c r="DH25" s="253"/>
      <c r="DI25" s="253">
        <v>289.22000000000003</v>
      </c>
      <c r="DJ25" s="253"/>
      <c r="DK25" s="253"/>
      <c r="DL25" s="262">
        <v>289.22000000000003</v>
      </c>
      <c r="DM25" s="253">
        <v>590</v>
      </c>
      <c r="DN25" s="253"/>
      <c r="DO25" s="253"/>
      <c r="DP25" s="253"/>
      <c r="DQ25" s="253"/>
      <c r="DR25" s="253"/>
      <c r="DS25" s="253"/>
      <c r="DT25" s="253"/>
      <c r="DU25" s="253"/>
      <c r="DV25" s="253"/>
      <c r="DW25" s="253"/>
      <c r="DX25" s="253"/>
      <c r="DY25" s="253"/>
      <c r="DZ25" s="253"/>
      <c r="EA25" s="253"/>
      <c r="EB25" s="253"/>
      <c r="EC25" s="253"/>
      <c r="ED25" s="253"/>
      <c r="EE25" s="253"/>
      <c r="EF25" s="253"/>
      <c r="EG25" s="253"/>
      <c r="EH25" s="253"/>
      <c r="EI25" s="253"/>
      <c r="EJ25" s="253"/>
      <c r="EK25" s="253"/>
      <c r="EL25" s="253"/>
      <c r="EM25" s="253"/>
      <c r="EN25" s="253"/>
      <c r="EO25" s="253"/>
      <c r="EP25" s="253"/>
      <c r="EQ25" s="253"/>
      <c r="ER25" s="253"/>
      <c r="ES25" s="253"/>
      <c r="ET25" s="253"/>
      <c r="EU25" s="253"/>
      <c r="EV25" s="253"/>
      <c r="EW25" s="253"/>
      <c r="EX25" s="253"/>
      <c r="EY25" s="253"/>
      <c r="EZ25" s="253"/>
      <c r="FA25" s="253"/>
      <c r="FB25" s="253"/>
      <c r="FC25" s="253"/>
      <c r="FD25" s="253"/>
      <c r="FE25" s="253"/>
      <c r="FF25" s="253"/>
      <c r="FG25" s="253"/>
      <c r="FH25" s="253"/>
      <c r="FI25" s="253"/>
      <c r="FJ25" s="253"/>
      <c r="FK25" s="253"/>
      <c r="FL25" s="253"/>
      <c r="FM25" s="253"/>
      <c r="FN25" s="253"/>
      <c r="FO25" s="253"/>
      <c r="FP25" s="253"/>
      <c r="FQ25" s="253"/>
      <c r="FR25" s="253"/>
      <c r="FS25" s="253"/>
      <c r="FT25" s="253"/>
      <c r="FU25" s="253"/>
      <c r="FV25" s="253"/>
      <c r="FW25" s="253"/>
      <c r="FX25" s="253"/>
      <c r="FY25" s="253"/>
      <c r="FZ25" s="253"/>
      <c r="GA25" s="253"/>
      <c r="GB25" s="253"/>
      <c r="GC25" s="253"/>
      <c r="GD25" s="253"/>
      <c r="GE25" s="253"/>
      <c r="GF25" s="253"/>
      <c r="GG25" s="253"/>
      <c r="GH25" s="253"/>
      <c r="GI25" s="253"/>
      <c r="GJ25" s="253"/>
      <c r="GK25" s="253"/>
      <c r="GL25" s="253"/>
      <c r="GM25" s="253"/>
      <c r="GN25" s="253"/>
      <c r="GO25" s="253"/>
      <c r="GP25" s="253"/>
      <c r="GQ25" s="253"/>
      <c r="GR25" s="253"/>
      <c r="GS25" s="253"/>
      <c r="GT25" s="253"/>
      <c r="GU25" s="253"/>
      <c r="GV25" s="253"/>
      <c r="GW25" s="253"/>
      <c r="GX25" s="253"/>
      <c r="GY25" s="253"/>
      <c r="GZ25" s="253"/>
      <c r="HA25" s="253"/>
      <c r="HB25" s="253"/>
      <c r="HC25" s="253"/>
      <c r="HD25" s="253"/>
      <c r="HE25" s="253"/>
      <c r="HF25" s="253"/>
      <c r="HG25" s="253"/>
      <c r="HH25" s="253"/>
      <c r="HI25" s="253"/>
      <c r="HJ25" s="253"/>
      <c r="HK25" s="253"/>
      <c r="HL25" s="253"/>
      <c r="HM25" s="253"/>
      <c r="HN25" s="253"/>
      <c r="HO25" s="253"/>
      <c r="HP25" s="253"/>
      <c r="HQ25" s="253"/>
      <c r="HR25" s="253"/>
      <c r="HS25" s="253"/>
      <c r="HT25" s="253"/>
      <c r="HU25" s="253"/>
      <c r="HV25" s="253"/>
      <c r="HW25" s="253"/>
      <c r="HX25" s="253"/>
      <c r="HY25" s="253"/>
      <c r="HZ25" s="253"/>
      <c r="IA25" s="253"/>
      <c r="IB25" s="253"/>
      <c r="IC25" s="253"/>
      <c r="ID25" s="253"/>
      <c r="IE25" s="253"/>
      <c r="IF25" s="253"/>
      <c r="IG25" s="253"/>
      <c r="IH25" s="253"/>
      <c r="II25" s="253"/>
      <c r="IJ25" s="253"/>
      <c r="IK25" s="253"/>
      <c r="IL25" s="253"/>
      <c r="IM25" s="253"/>
      <c r="IN25" s="253"/>
      <c r="IO25" s="253"/>
      <c r="IP25" s="253"/>
      <c r="IQ25" s="253"/>
      <c r="IR25" s="253"/>
      <c r="IS25" s="253"/>
      <c r="IT25" s="253"/>
      <c r="IU25" s="253"/>
    </row>
    <row r="26" spans="1:255" s="254" customFormat="1" ht="19.5" customHeight="1" x14ac:dyDescent="0.2">
      <c r="A26" s="263" t="s">
        <v>475</v>
      </c>
      <c r="B26" s="264" t="s">
        <v>476</v>
      </c>
      <c r="C26" s="265" t="s">
        <v>477</v>
      </c>
      <c r="D26" s="266" t="s">
        <v>430</v>
      </c>
      <c r="E26" s="267">
        <v>1.02</v>
      </c>
      <c r="F26" s="268"/>
      <c r="G26" s="269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>
        <v>7098</v>
      </c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  <c r="BX26" s="253"/>
      <c r="BY26" s="253"/>
      <c r="BZ26" s="253"/>
      <c r="CA26" s="253"/>
      <c r="CB26" s="253"/>
      <c r="CC26" s="253"/>
      <c r="CD26" s="253"/>
      <c r="CE26" s="253"/>
      <c r="CF26" s="253"/>
      <c r="CG26" s="253"/>
      <c r="CH26" s="253"/>
      <c r="CI26" s="253"/>
      <c r="CJ26" s="253"/>
      <c r="CK26" s="253"/>
      <c r="CL26" s="253"/>
      <c r="CM26" s="253"/>
      <c r="CN26" s="253"/>
      <c r="CO26" s="253"/>
      <c r="CP26" s="253"/>
      <c r="CQ26" s="253"/>
      <c r="CR26" s="253"/>
      <c r="CS26" s="253"/>
      <c r="CT26" s="253"/>
      <c r="CU26" s="253"/>
      <c r="CV26" s="253"/>
      <c r="CW26" s="253"/>
      <c r="CX26" s="253"/>
      <c r="CY26" s="253"/>
      <c r="CZ26" s="253"/>
      <c r="DA26" s="253"/>
      <c r="DB26" s="253"/>
      <c r="DC26" s="253"/>
      <c r="DD26" s="253"/>
      <c r="DE26" s="253"/>
      <c r="DF26" s="253"/>
      <c r="DG26" s="253"/>
      <c r="DH26" s="253"/>
      <c r="DI26" s="253">
        <v>3479.41</v>
      </c>
      <c r="DJ26" s="253"/>
      <c r="DK26" s="253"/>
      <c r="DL26" s="262">
        <v>3479.41</v>
      </c>
      <c r="DM26" s="253">
        <v>7098</v>
      </c>
      <c r="DN26" s="253"/>
      <c r="DO26" s="253"/>
      <c r="DP26" s="253"/>
      <c r="DQ26" s="253"/>
      <c r="DR26" s="253"/>
      <c r="DS26" s="253"/>
      <c r="DT26" s="253"/>
      <c r="DU26" s="253"/>
      <c r="DV26" s="253"/>
      <c r="DW26" s="253"/>
      <c r="DX26" s="253"/>
      <c r="DY26" s="253"/>
      <c r="DZ26" s="253"/>
      <c r="EA26" s="253"/>
      <c r="EB26" s="253"/>
      <c r="EC26" s="253"/>
      <c r="ED26" s="253"/>
      <c r="EE26" s="253"/>
      <c r="EF26" s="253"/>
      <c r="EG26" s="253"/>
      <c r="EH26" s="253"/>
      <c r="EI26" s="253"/>
      <c r="EJ26" s="253"/>
      <c r="EK26" s="253"/>
      <c r="EL26" s="253"/>
      <c r="EM26" s="253"/>
      <c r="EN26" s="253"/>
      <c r="EO26" s="253"/>
      <c r="EP26" s="253"/>
      <c r="EQ26" s="253"/>
      <c r="ER26" s="253"/>
      <c r="ES26" s="253"/>
      <c r="ET26" s="253"/>
      <c r="EU26" s="253"/>
      <c r="EV26" s="253"/>
      <c r="EW26" s="253"/>
      <c r="EX26" s="253"/>
      <c r="EY26" s="253"/>
      <c r="EZ26" s="253"/>
      <c r="FA26" s="253"/>
      <c r="FB26" s="253"/>
      <c r="FC26" s="253"/>
      <c r="FD26" s="253"/>
      <c r="FE26" s="253"/>
      <c r="FF26" s="253"/>
      <c r="FG26" s="253"/>
      <c r="FH26" s="253"/>
      <c r="FI26" s="253"/>
      <c r="FJ26" s="253"/>
      <c r="FK26" s="253"/>
      <c r="FL26" s="253"/>
      <c r="FM26" s="253"/>
      <c r="FN26" s="253"/>
      <c r="FO26" s="253"/>
      <c r="FP26" s="253"/>
      <c r="FQ26" s="253"/>
      <c r="FR26" s="253"/>
      <c r="FS26" s="253"/>
      <c r="FT26" s="253"/>
      <c r="FU26" s="253"/>
      <c r="FV26" s="253"/>
      <c r="FW26" s="253"/>
      <c r="FX26" s="253"/>
      <c r="FY26" s="253"/>
      <c r="FZ26" s="253"/>
      <c r="GA26" s="253"/>
      <c r="GB26" s="253"/>
      <c r="GC26" s="253"/>
      <c r="GD26" s="253"/>
      <c r="GE26" s="253"/>
      <c r="GF26" s="253"/>
      <c r="GG26" s="253"/>
      <c r="GH26" s="253"/>
      <c r="GI26" s="253"/>
      <c r="GJ26" s="253"/>
      <c r="GK26" s="253"/>
      <c r="GL26" s="253"/>
      <c r="GM26" s="253"/>
      <c r="GN26" s="253"/>
      <c r="GO26" s="253"/>
      <c r="GP26" s="253"/>
      <c r="GQ26" s="253"/>
      <c r="GR26" s="253"/>
      <c r="GS26" s="253"/>
      <c r="GT26" s="253"/>
      <c r="GU26" s="253"/>
      <c r="GV26" s="253"/>
      <c r="GW26" s="253"/>
      <c r="GX26" s="253"/>
      <c r="GY26" s="253"/>
      <c r="GZ26" s="253"/>
      <c r="HA26" s="253"/>
      <c r="HB26" s="253"/>
      <c r="HC26" s="253"/>
      <c r="HD26" s="253"/>
      <c r="HE26" s="253"/>
      <c r="HF26" s="253"/>
      <c r="HG26" s="253"/>
      <c r="HH26" s="253"/>
      <c r="HI26" s="253"/>
      <c r="HJ26" s="253"/>
      <c r="HK26" s="253"/>
      <c r="HL26" s="253"/>
      <c r="HM26" s="253"/>
      <c r="HN26" s="253"/>
      <c r="HO26" s="253"/>
      <c r="HP26" s="253"/>
      <c r="HQ26" s="253"/>
      <c r="HR26" s="253"/>
      <c r="HS26" s="253"/>
      <c r="HT26" s="253"/>
      <c r="HU26" s="253"/>
      <c r="HV26" s="253"/>
      <c r="HW26" s="253"/>
      <c r="HX26" s="253"/>
      <c r="HY26" s="253"/>
      <c r="HZ26" s="253"/>
      <c r="IA26" s="253"/>
      <c r="IB26" s="253"/>
      <c r="IC26" s="253"/>
      <c r="ID26" s="253"/>
      <c r="IE26" s="253"/>
      <c r="IF26" s="253"/>
      <c r="IG26" s="253"/>
      <c r="IH26" s="253"/>
      <c r="II26" s="253"/>
      <c r="IJ26" s="253"/>
      <c r="IK26" s="253"/>
      <c r="IL26" s="253"/>
      <c r="IM26" s="253"/>
      <c r="IN26" s="253"/>
      <c r="IO26" s="253"/>
      <c r="IP26" s="253"/>
      <c r="IQ26" s="253"/>
      <c r="IR26" s="253"/>
      <c r="IS26" s="253"/>
      <c r="IT26" s="253"/>
      <c r="IU26" s="253"/>
    </row>
    <row r="27" spans="1:255" s="274" customFormat="1" x14ac:dyDescent="0.2">
      <c r="A27" s="397" t="s">
        <v>434</v>
      </c>
      <c r="B27" s="397"/>
      <c r="C27" s="398" t="s">
        <v>444</v>
      </c>
      <c r="D27" s="398"/>
      <c r="E27" s="398"/>
      <c r="F27" s="398"/>
      <c r="G27" s="398"/>
    </row>
    <row r="28" spans="1:255" s="254" customFormat="1" ht="48" x14ac:dyDescent="0.2">
      <c r="A28" s="246">
        <v>104</v>
      </c>
      <c r="B28" s="247" t="s">
        <v>442</v>
      </c>
      <c r="C28" s="248" t="s">
        <v>478</v>
      </c>
      <c r="D28" s="249" t="s">
        <v>443</v>
      </c>
      <c r="E28" s="250">
        <v>0.27600000000000002</v>
      </c>
      <c r="F28" s="251"/>
      <c r="G28" s="252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53"/>
      <c r="BM28" s="253"/>
      <c r="BN28" s="253"/>
      <c r="BO28" s="253"/>
      <c r="BP28" s="253"/>
      <c r="BQ28" s="253"/>
      <c r="BR28" s="253"/>
      <c r="BS28" s="253"/>
      <c r="BT28" s="253"/>
      <c r="BU28" s="253"/>
      <c r="BV28" s="253"/>
      <c r="BW28" s="253"/>
      <c r="BX28" s="253"/>
      <c r="BY28" s="253"/>
      <c r="BZ28" s="253"/>
      <c r="CA28" s="253"/>
      <c r="CB28" s="253"/>
      <c r="CC28" s="253"/>
      <c r="CD28" s="253"/>
      <c r="CE28" s="253"/>
      <c r="CF28" s="253"/>
      <c r="CG28" s="253"/>
      <c r="CH28" s="253"/>
      <c r="CI28" s="253"/>
      <c r="CJ28" s="253"/>
      <c r="CK28" s="253"/>
      <c r="CL28" s="253"/>
      <c r="CM28" s="253"/>
      <c r="CN28" s="253"/>
      <c r="CO28" s="253"/>
      <c r="CP28" s="253"/>
      <c r="CQ28" s="253"/>
      <c r="CR28" s="253"/>
      <c r="CS28" s="253"/>
      <c r="CT28" s="253"/>
      <c r="CU28" s="253"/>
      <c r="CV28" s="253"/>
      <c r="CW28" s="253"/>
      <c r="CX28" s="253"/>
      <c r="CY28" s="253"/>
      <c r="CZ28" s="253"/>
      <c r="DA28" s="253"/>
      <c r="DB28" s="253"/>
      <c r="DC28" s="253"/>
      <c r="DD28" s="253"/>
      <c r="DE28" s="253"/>
      <c r="DF28" s="253"/>
      <c r="DG28" s="253"/>
      <c r="DH28" s="253"/>
      <c r="DI28" s="253"/>
      <c r="DJ28" s="253"/>
      <c r="DK28" s="253"/>
      <c r="DL28" s="253"/>
      <c r="DM28" s="253"/>
      <c r="DN28" s="253"/>
      <c r="DO28" s="253"/>
      <c r="DP28" s="253"/>
      <c r="DQ28" s="253"/>
      <c r="DR28" s="253"/>
      <c r="DS28" s="253"/>
      <c r="DT28" s="253"/>
      <c r="DU28" s="253"/>
      <c r="DV28" s="253"/>
      <c r="DW28" s="253"/>
      <c r="DX28" s="253"/>
      <c r="DY28" s="253"/>
      <c r="DZ28" s="253"/>
      <c r="EA28" s="253"/>
      <c r="EB28" s="253"/>
      <c r="EC28" s="253"/>
      <c r="ED28" s="253"/>
      <c r="EE28" s="253"/>
      <c r="EF28" s="253"/>
      <c r="EG28" s="253"/>
      <c r="EH28" s="253"/>
      <c r="EI28" s="253"/>
      <c r="EJ28" s="253"/>
      <c r="EK28" s="253"/>
      <c r="EL28" s="253"/>
      <c r="EM28" s="253"/>
      <c r="EN28" s="253"/>
      <c r="EO28" s="253"/>
      <c r="EP28" s="253"/>
      <c r="EQ28" s="253"/>
      <c r="ER28" s="253"/>
      <c r="ES28" s="253"/>
      <c r="ET28" s="253"/>
      <c r="EU28" s="253"/>
      <c r="EV28" s="253"/>
      <c r="EW28" s="253"/>
      <c r="EX28" s="253"/>
      <c r="EY28" s="253"/>
      <c r="EZ28" s="253"/>
      <c r="FA28" s="253"/>
      <c r="FB28" s="253"/>
      <c r="FC28" s="253"/>
      <c r="FD28" s="253"/>
      <c r="FE28" s="253"/>
      <c r="FF28" s="253"/>
      <c r="FG28" s="253"/>
      <c r="FH28" s="253"/>
      <c r="FI28" s="253"/>
      <c r="FJ28" s="253"/>
      <c r="FK28" s="253"/>
      <c r="FL28" s="253"/>
      <c r="FM28" s="253"/>
      <c r="FN28" s="253"/>
      <c r="FO28" s="253"/>
      <c r="FP28" s="253"/>
      <c r="FQ28" s="253"/>
      <c r="FR28" s="253"/>
      <c r="FS28" s="253"/>
      <c r="FT28" s="253"/>
      <c r="FU28" s="253"/>
      <c r="FV28" s="253"/>
      <c r="FW28" s="253"/>
      <c r="FX28" s="253"/>
      <c r="FY28" s="253"/>
      <c r="FZ28" s="253"/>
      <c r="GA28" s="253"/>
      <c r="GB28" s="253"/>
      <c r="GC28" s="253"/>
      <c r="GD28" s="253"/>
      <c r="GE28" s="253"/>
      <c r="GF28" s="253"/>
      <c r="GG28" s="253"/>
      <c r="GH28" s="253"/>
      <c r="GI28" s="253"/>
      <c r="GJ28" s="253"/>
      <c r="GK28" s="253"/>
      <c r="GL28" s="253"/>
      <c r="GM28" s="253"/>
      <c r="GN28" s="253"/>
      <c r="GO28" s="253"/>
      <c r="GP28" s="253"/>
      <c r="GQ28" s="253"/>
      <c r="GR28" s="253"/>
      <c r="GS28" s="253"/>
      <c r="GT28" s="253"/>
      <c r="GU28" s="253"/>
      <c r="GV28" s="253"/>
      <c r="GW28" s="253"/>
      <c r="GX28" s="253"/>
      <c r="GY28" s="253"/>
      <c r="GZ28" s="253"/>
      <c r="HA28" s="253"/>
      <c r="HB28" s="253"/>
      <c r="HC28" s="253"/>
      <c r="HD28" s="253"/>
      <c r="HE28" s="253"/>
      <c r="HF28" s="253"/>
      <c r="HG28" s="253"/>
      <c r="HH28" s="253"/>
      <c r="HI28" s="253"/>
      <c r="HJ28" s="253"/>
      <c r="HK28" s="253"/>
      <c r="HL28" s="253"/>
      <c r="HM28" s="253"/>
      <c r="HN28" s="253"/>
      <c r="HO28" s="253"/>
      <c r="HP28" s="253"/>
      <c r="HQ28" s="253"/>
      <c r="HR28" s="253"/>
      <c r="HS28" s="253"/>
      <c r="HT28" s="253"/>
      <c r="HU28" s="253"/>
      <c r="HV28" s="253"/>
      <c r="HW28" s="253"/>
      <c r="HX28" s="253"/>
      <c r="HY28" s="253"/>
      <c r="HZ28" s="253"/>
      <c r="IA28" s="253"/>
      <c r="IB28" s="253"/>
      <c r="IC28" s="253"/>
      <c r="ID28" s="253"/>
      <c r="IE28" s="253"/>
      <c r="IF28" s="253"/>
      <c r="IG28" s="253"/>
      <c r="IH28" s="253"/>
      <c r="II28" s="253"/>
      <c r="IJ28" s="253"/>
      <c r="IK28" s="253"/>
      <c r="IL28" s="253"/>
      <c r="IM28" s="253"/>
      <c r="IN28" s="253"/>
      <c r="IO28" s="253"/>
      <c r="IP28" s="253"/>
      <c r="IQ28" s="253"/>
      <c r="IR28" s="253"/>
      <c r="IS28" s="253"/>
      <c r="IT28" s="253"/>
      <c r="IU28" s="253"/>
    </row>
    <row r="29" spans="1:255" s="254" customFormat="1" ht="24" x14ac:dyDescent="0.2">
      <c r="A29" s="255" t="s">
        <v>479</v>
      </c>
      <c r="B29" s="256" t="s">
        <v>452</v>
      </c>
      <c r="C29" s="257" t="s">
        <v>451</v>
      </c>
      <c r="D29" s="258" t="s">
        <v>430</v>
      </c>
      <c r="E29" s="259">
        <v>55.2</v>
      </c>
      <c r="F29" s="260"/>
      <c r="G29" s="261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>
        <v>324300</v>
      </c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3"/>
      <c r="AY29" s="253"/>
      <c r="AZ29" s="253"/>
      <c r="BA29" s="253"/>
      <c r="BB29" s="253"/>
      <c r="BC29" s="253"/>
      <c r="BD29" s="253"/>
      <c r="BE29" s="253"/>
      <c r="BF29" s="253"/>
      <c r="BG29" s="253"/>
      <c r="BH29" s="253"/>
      <c r="BI29" s="253"/>
      <c r="BJ29" s="253"/>
      <c r="BK29" s="253"/>
      <c r="BL29" s="253"/>
      <c r="BM29" s="253"/>
      <c r="BN29" s="253"/>
      <c r="BO29" s="253"/>
      <c r="BP29" s="253"/>
      <c r="BQ29" s="253"/>
      <c r="BR29" s="253"/>
      <c r="BS29" s="253"/>
      <c r="BT29" s="253"/>
      <c r="BU29" s="253"/>
      <c r="BV29" s="253"/>
      <c r="BW29" s="253"/>
      <c r="BX29" s="253"/>
      <c r="BY29" s="253"/>
      <c r="BZ29" s="253"/>
      <c r="CA29" s="253"/>
      <c r="CB29" s="253"/>
      <c r="CC29" s="253"/>
      <c r="CD29" s="253"/>
      <c r="CE29" s="253"/>
      <c r="CF29" s="253"/>
      <c r="CG29" s="253"/>
      <c r="CH29" s="253"/>
      <c r="CI29" s="253"/>
      <c r="CJ29" s="253"/>
      <c r="CK29" s="253"/>
      <c r="CL29" s="253"/>
      <c r="CM29" s="253"/>
      <c r="CN29" s="253"/>
      <c r="CO29" s="253"/>
      <c r="CP29" s="253"/>
      <c r="CQ29" s="253"/>
      <c r="CR29" s="253"/>
      <c r="CS29" s="253"/>
      <c r="CT29" s="253"/>
      <c r="CU29" s="253"/>
      <c r="CV29" s="253"/>
      <c r="CW29" s="253"/>
      <c r="CX29" s="253"/>
      <c r="CY29" s="253"/>
      <c r="CZ29" s="253"/>
      <c r="DA29" s="253"/>
      <c r="DB29" s="253"/>
      <c r="DC29" s="253"/>
      <c r="DD29" s="253"/>
      <c r="DE29" s="253"/>
      <c r="DF29" s="253"/>
      <c r="DG29" s="253"/>
      <c r="DH29" s="253"/>
      <c r="DI29" s="253">
        <v>644731.61</v>
      </c>
      <c r="DJ29" s="253"/>
      <c r="DK29" s="253"/>
      <c r="DL29" s="262">
        <v>644731.61</v>
      </c>
      <c r="DM29" s="253">
        <v>324300</v>
      </c>
      <c r="DN29" s="253"/>
      <c r="DO29" s="253"/>
      <c r="DP29" s="253"/>
      <c r="DQ29" s="253"/>
      <c r="DR29" s="253"/>
      <c r="DS29" s="253"/>
      <c r="DT29" s="253"/>
      <c r="DU29" s="253"/>
      <c r="DV29" s="253"/>
      <c r="DW29" s="253"/>
      <c r="DX29" s="253"/>
      <c r="DY29" s="253"/>
      <c r="DZ29" s="253"/>
      <c r="EA29" s="253"/>
      <c r="EB29" s="253"/>
      <c r="EC29" s="253"/>
      <c r="ED29" s="253"/>
      <c r="EE29" s="253"/>
      <c r="EF29" s="253"/>
      <c r="EG29" s="253"/>
      <c r="EH29" s="253"/>
      <c r="EI29" s="253"/>
      <c r="EJ29" s="253"/>
      <c r="EK29" s="253"/>
      <c r="EL29" s="253"/>
      <c r="EM29" s="253"/>
      <c r="EN29" s="253"/>
      <c r="EO29" s="253"/>
      <c r="EP29" s="253"/>
      <c r="EQ29" s="253"/>
      <c r="ER29" s="253"/>
      <c r="ES29" s="253"/>
      <c r="ET29" s="253"/>
      <c r="EU29" s="253"/>
      <c r="EV29" s="253"/>
      <c r="EW29" s="253"/>
      <c r="EX29" s="253"/>
      <c r="EY29" s="253"/>
      <c r="EZ29" s="253"/>
      <c r="FA29" s="253"/>
      <c r="FB29" s="253"/>
      <c r="FC29" s="253"/>
      <c r="FD29" s="253"/>
      <c r="FE29" s="253"/>
      <c r="FF29" s="253"/>
      <c r="FG29" s="253"/>
      <c r="FH29" s="253"/>
      <c r="FI29" s="253"/>
      <c r="FJ29" s="253"/>
      <c r="FK29" s="253"/>
      <c r="FL29" s="253"/>
      <c r="FM29" s="253"/>
      <c r="FN29" s="253"/>
      <c r="FO29" s="253"/>
      <c r="FP29" s="253"/>
      <c r="FQ29" s="253"/>
      <c r="FR29" s="253"/>
      <c r="FS29" s="253"/>
      <c r="FT29" s="253"/>
      <c r="FU29" s="253"/>
      <c r="FV29" s="253"/>
      <c r="FW29" s="253"/>
      <c r="FX29" s="253"/>
      <c r="FY29" s="253"/>
      <c r="FZ29" s="253"/>
      <c r="GA29" s="253"/>
      <c r="GB29" s="253"/>
      <c r="GC29" s="253"/>
      <c r="GD29" s="253"/>
      <c r="GE29" s="253"/>
      <c r="GF29" s="253"/>
      <c r="GG29" s="253"/>
      <c r="GH29" s="253"/>
      <c r="GI29" s="253"/>
      <c r="GJ29" s="253"/>
      <c r="GK29" s="253"/>
      <c r="GL29" s="253"/>
      <c r="GM29" s="253"/>
      <c r="GN29" s="253"/>
      <c r="GO29" s="253"/>
      <c r="GP29" s="253"/>
      <c r="GQ29" s="253"/>
      <c r="GR29" s="253"/>
      <c r="GS29" s="253"/>
      <c r="GT29" s="253"/>
      <c r="GU29" s="253"/>
      <c r="GV29" s="253"/>
      <c r="GW29" s="253"/>
      <c r="GX29" s="253"/>
      <c r="GY29" s="253"/>
      <c r="GZ29" s="253"/>
      <c r="HA29" s="253"/>
      <c r="HB29" s="253"/>
      <c r="HC29" s="253"/>
      <c r="HD29" s="253"/>
      <c r="HE29" s="253"/>
      <c r="HF29" s="253"/>
      <c r="HG29" s="253"/>
      <c r="HH29" s="253"/>
      <c r="HI29" s="253"/>
      <c r="HJ29" s="253"/>
      <c r="HK29" s="253"/>
      <c r="HL29" s="253"/>
      <c r="HM29" s="253"/>
      <c r="HN29" s="253"/>
      <c r="HO29" s="253"/>
      <c r="HP29" s="253"/>
      <c r="HQ29" s="253"/>
      <c r="HR29" s="253"/>
      <c r="HS29" s="253"/>
      <c r="HT29" s="253"/>
      <c r="HU29" s="253"/>
      <c r="HV29" s="253"/>
      <c r="HW29" s="253"/>
      <c r="HX29" s="253"/>
      <c r="HY29" s="253"/>
      <c r="HZ29" s="253"/>
      <c r="IA29" s="253"/>
      <c r="IB29" s="253"/>
      <c r="IC29" s="253"/>
      <c r="ID29" s="253"/>
      <c r="IE29" s="253"/>
      <c r="IF29" s="253"/>
      <c r="IG29" s="253"/>
      <c r="IH29" s="253"/>
      <c r="II29" s="253"/>
      <c r="IJ29" s="253"/>
      <c r="IK29" s="253"/>
      <c r="IL29" s="253"/>
      <c r="IM29" s="253"/>
      <c r="IN29" s="253"/>
      <c r="IO29" s="253"/>
      <c r="IP29" s="253"/>
      <c r="IQ29" s="253"/>
      <c r="IR29" s="253"/>
      <c r="IS29" s="253"/>
      <c r="IT29" s="253"/>
      <c r="IU29" s="253"/>
    </row>
    <row r="30" spans="1:255" s="254" customFormat="1" ht="56.25" x14ac:dyDescent="0.2">
      <c r="A30" s="101">
        <v>105</v>
      </c>
      <c r="B30" s="109" t="s">
        <v>458</v>
      </c>
      <c r="C30" s="102" t="s">
        <v>472</v>
      </c>
      <c r="D30" s="103" t="s">
        <v>459</v>
      </c>
      <c r="E30" s="104">
        <v>0.3</v>
      </c>
      <c r="F30" s="251"/>
      <c r="G30" s="252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3"/>
      <c r="DE30" s="253"/>
      <c r="DF30" s="253"/>
      <c r="DG30" s="253"/>
      <c r="DH30" s="253"/>
      <c r="DI30" s="253"/>
      <c r="DJ30" s="253"/>
      <c r="DK30" s="253"/>
      <c r="DL30" s="262"/>
      <c r="DM30" s="253"/>
      <c r="DN30" s="253"/>
      <c r="DO30" s="253"/>
      <c r="DP30" s="253"/>
      <c r="DQ30" s="253"/>
      <c r="DR30" s="253"/>
      <c r="DS30" s="253"/>
      <c r="DT30" s="253"/>
      <c r="DU30" s="253"/>
      <c r="DV30" s="253"/>
      <c r="DW30" s="253"/>
      <c r="DX30" s="253"/>
      <c r="DY30" s="253"/>
      <c r="DZ30" s="253"/>
      <c r="EA30" s="253"/>
      <c r="EB30" s="253"/>
      <c r="EC30" s="253"/>
      <c r="ED30" s="253"/>
      <c r="EE30" s="253"/>
      <c r="EF30" s="253"/>
      <c r="EG30" s="253"/>
      <c r="EH30" s="253"/>
      <c r="EI30" s="253"/>
      <c r="EJ30" s="253"/>
      <c r="EK30" s="253"/>
      <c r="EL30" s="253"/>
      <c r="EM30" s="253"/>
      <c r="EN30" s="253"/>
      <c r="EO30" s="253"/>
      <c r="EP30" s="253"/>
      <c r="EQ30" s="253"/>
      <c r="ER30" s="253"/>
      <c r="ES30" s="253"/>
      <c r="ET30" s="253"/>
      <c r="EU30" s="253"/>
      <c r="EV30" s="253"/>
      <c r="EW30" s="253"/>
      <c r="EX30" s="253"/>
      <c r="EY30" s="253"/>
      <c r="EZ30" s="253"/>
      <c r="FA30" s="253"/>
      <c r="FB30" s="253"/>
      <c r="FC30" s="253"/>
      <c r="FD30" s="253"/>
      <c r="FE30" s="253"/>
      <c r="FF30" s="253"/>
      <c r="FG30" s="253"/>
      <c r="FH30" s="253"/>
      <c r="FI30" s="253"/>
      <c r="FJ30" s="253"/>
      <c r="FK30" s="253"/>
      <c r="FL30" s="253"/>
      <c r="FM30" s="253"/>
      <c r="FN30" s="253"/>
      <c r="FO30" s="253"/>
      <c r="FP30" s="253"/>
      <c r="FQ30" s="253"/>
      <c r="FR30" s="253"/>
      <c r="FS30" s="253"/>
      <c r="FT30" s="253"/>
      <c r="FU30" s="253"/>
      <c r="FV30" s="253"/>
      <c r="FW30" s="253"/>
      <c r="FX30" s="253"/>
      <c r="FY30" s="253"/>
      <c r="FZ30" s="253"/>
      <c r="GA30" s="253"/>
      <c r="GB30" s="253"/>
      <c r="GC30" s="253"/>
      <c r="GD30" s="253"/>
      <c r="GE30" s="253"/>
      <c r="GF30" s="253"/>
      <c r="GG30" s="253"/>
      <c r="GH30" s="253"/>
      <c r="GI30" s="253"/>
      <c r="GJ30" s="253"/>
      <c r="GK30" s="253"/>
      <c r="GL30" s="253"/>
      <c r="GM30" s="253"/>
      <c r="GN30" s="253"/>
      <c r="GO30" s="253"/>
      <c r="GP30" s="253"/>
      <c r="GQ30" s="253"/>
      <c r="GR30" s="253"/>
      <c r="GS30" s="253"/>
      <c r="GT30" s="253"/>
      <c r="GU30" s="253"/>
      <c r="GV30" s="253"/>
      <c r="GW30" s="253"/>
      <c r="GX30" s="253"/>
      <c r="GY30" s="253"/>
      <c r="GZ30" s="253"/>
      <c r="HA30" s="253"/>
      <c r="HB30" s="253"/>
      <c r="HC30" s="253"/>
      <c r="HD30" s="253"/>
      <c r="HE30" s="253"/>
      <c r="HF30" s="253"/>
      <c r="HG30" s="253"/>
      <c r="HH30" s="253"/>
      <c r="HI30" s="253"/>
      <c r="HJ30" s="253"/>
      <c r="HK30" s="253"/>
      <c r="HL30" s="253"/>
      <c r="HM30" s="253"/>
      <c r="HN30" s="253"/>
      <c r="HO30" s="253"/>
      <c r="HP30" s="253"/>
      <c r="HQ30" s="253"/>
      <c r="HR30" s="253"/>
      <c r="HS30" s="253"/>
      <c r="HT30" s="253"/>
      <c r="HU30" s="253"/>
      <c r="HV30" s="253"/>
      <c r="HW30" s="253"/>
      <c r="HX30" s="253"/>
      <c r="HY30" s="253"/>
      <c r="HZ30" s="253"/>
      <c r="IA30" s="253"/>
      <c r="IB30" s="253"/>
      <c r="IC30" s="253"/>
      <c r="ID30" s="253"/>
      <c r="IE30" s="253"/>
      <c r="IF30" s="253"/>
      <c r="IG30" s="253"/>
      <c r="IH30" s="253"/>
      <c r="II30" s="253"/>
      <c r="IJ30" s="253"/>
      <c r="IK30" s="253"/>
      <c r="IL30" s="253"/>
      <c r="IM30" s="253"/>
      <c r="IN30" s="253"/>
      <c r="IO30" s="253"/>
      <c r="IP30" s="253"/>
      <c r="IQ30" s="253"/>
      <c r="IR30" s="253"/>
      <c r="IS30" s="253"/>
      <c r="IT30" s="253"/>
      <c r="IU30" s="253"/>
    </row>
    <row r="31" spans="1:255" s="254" customFormat="1" ht="24" x14ac:dyDescent="0.2">
      <c r="A31" s="255" t="s">
        <v>480</v>
      </c>
      <c r="B31" s="256" t="s">
        <v>460</v>
      </c>
      <c r="C31" s="257" t="s">
        <v>461</v>
      </c>
      <c r="D31" s="258" t="s">
        <v>194</v>
      </c>
      <c r="E31" s="259">
        <v>2.7000000000000001E-3</v>
      </c>
      <c r="F31" s="260"/>
      <c r="G31" s="261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3"/>
      <c r="BQ31" s="253"/>
      <c r="BR31" s="253"/>
      <c r="BS31" s="253"/>
      <c r="BT31" s="253"/>
      <c r="BU31" s="253"/>
      <c r="BV31" s="253"/>
      <c r="BW31" s="253"/>
      <c r="BX31" s="253"/>
      <c r="BY31" s="253"/>
      <c r="BZ31" s="253"/>
      <c r="CA31" s="253"/>
      <c r="CB31" s="253"/>
      <c r="CC31" s="253"/>
      <c r="CD31" s="253"/>
      <c r="CE31" s="253"/>
      <c r="CF31" s="253"/>
      <c r="CG31" s="253"/>
      <c r="CH31" s="253"/>
      <c r="CI31" s="253"/>
      <c r="CJ31" s="253"/>
      <c r="CK31" s="253"/>
      <c r="CL31" s="253"/>
      <c r="CM31" s="253"/>
      <c r="CN31" s="253"/>
      <c r="CO31" s="253"/>
      <c r="CP31" s="253"/>
      <c r="CQ31" s="253"/>
      <c r="CR31" s="253"/>
      <c r="CS31" s="253"/>
      <c r="CT31" s="253"/>
      <c r="CU31" s="253"/>
      <c r="CV31" s="253"/>
      <c r="CW31" s="253"/>
      <c r="CX31" s="253"/>
      <c r="CY31" s="253"/>
      <c r="CZ31" s="253"/>
      <c r="DA31" s="253"/>
      <c r="DB31" s="253"/>
      <c r="DC31" s="253"/>
      <c r="DD31" s="253"/>
      <c r="DE31" s="253"/>
      <c r="DF31" s="253"/>
      <c r="DG31" s="253"/>
      <c r="DH31" s="253"/>
      <c r="DI31" s="253"/>
      <c r="DJ31" s="253"/>
      <c r="DK31" s="253"/>
      <c r="DL31" s="262"/>
      <c r="DM31" s="253"/>
      <c r="DN31" s="253"/>
      <c r="DO31" s="253"/>
      <c r="DP31" s="253"/>
      <c r="DQ31" s="253"/>
      <c r="DR31" s="253"/>
      <c r="DS31" s="253"/>
      <c r="DT31" s="253"/>
      <c r="DU31" s="253"/>
      <c r="DV31" s="253"/>
      <c r="DW31" s="253"/>
      <c r="DX31" s="253"/>
      <c r="DY31" s="253"/>
      <c r="DZ31" s="253"/>
      <c r="EA31" s="253"/>
      <c r="EB31" s="253"/>
      <c r="EC31" s="253"/>
      <c r="ED31" s="253"/>
      <c r="EE31" s="253"/>
      <c r="EF31" s="253"/>
      <c r="EG31" s="253"/>
      <c r="EH31" s="253"/>
      <c r="EI31" s="253"/>
      <c r="EJ31" s="253"/>
      <c r="EK31" s="253"/>
      <c r="EL31" s="253"/>
      <c r="EM31" s="253"/>
      <c r="EN31" s="253"/>
      <c r="EO31" s="253"/>
      <c r="EP31" s="253"/>
      <c r="EQ31" s="253"/>
      <c r="ER31" s="253"/>
      <c r="ES31" s="253"/>
      <c r="ET31" s="253"/>
      <c r="EU31" s="253"/>
      <c r="EV31" s="253"/>
      <c r="EW31" s="253"/>
      <c r="EX31" s="253"/>
      <c r="EY31" s="253"/>
      <c r="EZ31" s="253"/>
      <c r="FA31" s="253"/>
      <c r="FB31" s="253"/>
      <c r="FC31" s="253"/>
      <c r="FD31" s="253"/>
      <c r="FE31" s="253"/>
      <c r="FF31" s="253"/>
      <c r="FG31" s="253"/>
      <c r="FH31" s="253"/>
      <c r="FI31" s="253"/>
      <c r="FJ31" s="253"/>
      <c r="FK31" s="253"/>
      <c r="FL31" s="253"/>
      <c r="FM31" s="253"/>
      <c r="FN31" s="253"/>
      <c r="FO31" s="253"/>
      <c r="FP31" s="253"/>
      <c r="FQ31" s="253"/>
      <c r="FR31" s="253"/>
      <c r="FS31" s="253"/>
      <c r="FT31" s="253"/>
      <c r="FU31" s="253"/>
      <c r="FV31" s="253"/>
      <c r="FW31" s="253"/>
      <c r="FX31" s="253"/>
      <c r="FY31" s="253"/>
      <c r="FZ31" s="253"/>
      <c r="GA31" s="253"/>
      <c r="GB31" s="253"/>
      <c r="GC31" s="253"/>
      <c r="GD31" s="253"/>
      <c r="GE31" s="253"/>
      <c r="GF31" s="253"/>
      <c r="GG31" s="253"/>
      <c r="GH31" s="253"/>
      <c r="GI31" s="253"/>
      <c r="GJ31" s="253"/>
      <c r="GK31" s="253"/>
      <c r="GL31" s="253"/>
      <c r="GM31" s="253"/>
      <c r="GN31" s="253"/>
      <c r="GO31" s="253"/>
      <c r="GP31" s="253"/>
      <c r="GQ31" s="253"/>
      <c r="GR31" s="253"/>
      <c r="GS31" s="253"/>
      <c r="GT31" s="253"/>
      <c r="GU31" s="253"/>
      <c r="GV31" s="253"/>
      <c r="GW31" s="253"/>
      <c r="GX31" s="253"/>
      <c r="GY31" s="253"/>
      <c r="GZ31" s="253"/>
      <c r="HA31" s="253"/>
      <c r="HB31" s="253"/>
      <c r="HC31" s="253"/>
      <c r="HD31" s="253"/>
      <c r="HE31" s="253"/>
      <c r="HF31" s="253"/>
      <c r="HG31" s="253"/>
      <c r="HH31" s="253"/>
      <c r="HI31" s="253"/>
      <c r="HJ31" s="253"/>
      <c r="HK31" s="253"/>
      <c r="HL31" s="253"/>
      <c r="HM31" s="253"/>
      <c r="HN31" s="253"/>
      <c r="HO31" s="253"/>
      <c r="HP31" s="253"/>
      <c r="HQ31" s="253"/>
      <c r="HR31" s="253"/>
      <c r="HS31" s="253"/>
      <c r="HT31" s="253"/>
      <c r="HU31" s="253"/>
      <c r="HV31" s="253"/>
      <c r="HW31" s="253"/>
      <c r="HX31" s="253"/>
      <c r="HY31" s="253"/>
      <c r="HZ31" s="253"/>
      <c r="IA31" s="253"/>
      <c r="IB31" s="253"/>
      <c r="IC31" s="253"/>
      <c r="ID31" s="253"/>
      <c r="IE31" s="253"/>
      <c r="IF31" s="253"/>
      <c r="IG31" s="253"/>
      <c r="IH31" s="253"/>
      <c r="II31" s="253"/>
      <c r="IJ31" s="253"/>
      <c r="IK31" s="253"/>
      <c r="IL31" s="253"/>
      <c r="IM31" s="253"/>
      <c r="IN31" s="253"/>
      <c r="IO31" s="253"/>
      <c r="IP31" s="253"/>
      <c r="IQ31" s="253"/>
      <c r="IR31" s="253"/>
      <c r="IS31" s="253"/>
      <c r="IT31" s="253"/>
      <c r="IU31" s="253"/>
    </row>
    <row r="32" spans="1:255" s="254" customFormat="1" ht="24" x14ac:dyDescent="0.2">
      <c r="A32" s="255" t="s">
        <v>481</v>
      </c>
      <c r="B32" s="256" t="s">
        <v>462</v>
      </c>
      <c r="C32" s="257" t="s">
        <v>463</v>
      </c>
      <c r="D32" s="258" t="s">
        <v>464</v>
      </c>
      <c r="E32" s="259">
        <v>1.0500000000000001E-2</v>
      </c>
      <c r="F32" s="260"/>
      <c r="G32" s="261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3"/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3"/>
      <c r="CC32" s="253"/>
      <c r="CD32" s="253"/>
      <c r="CE32" s="253"/>
      <c r="CF32" s="253"/>
      <c r="CG32" s="253"/>
      <c r="CH32" s="253"/>
      <c r="CI32" s="253"/>
      <c r="CJ32" s="253"/>
      <c r="CK32" s="253"/>
      <c r="CL32" s="253"/>
      <c r="CM32" s="253"/>
      <c r="CN32" s="253"/>
      <c r="CO32" s="253"/>
      <c r="CP32" s="253"/>
      <c r="CQ32" s="253"/>
      <c r="CR32" s="253"/>
      <c r="CS32" s="253"/>
      <c r="CT32" s="253"/>
      <c r="CU32" s="253"/>
      <c r="CV32" s="253"/>
      <c r="CW32" s="253"/>
      <c r="CX32" s="253"/>
      <c r="CY32" s="253"/>
      <c r="CZ32" s="253"/>
      <c r="DA32" s="253"/>
      <c r="DB32" s="253"/>
      <c r="DC32" s="253"/>
      <c r="DD32" s="253"/>
      <c r="DE32" s="253"/>
      <c r="DF32" s="253"/>
      <c r="DG32" s="253"/>
      <c r="DH32" s="253"/>
      <c r="DI32" s="253"/>
      <c r="DJ32" s="253"/>
      <c r="DK32" s="253"/>
      <c r="DL32" s="262"/>
      <c r="DM32" s="253"/>
      <c r="DN32" s="253"/>
      <c r="DO32" s="253"/>
      <c r="DP32" s="253"/>
      <c r="DQ32" s="253"/>
      <c r="DR32" s="253"/>
      <c r="DS32" s="253"/>
      <c r="DT32" s="253"/>
      <c r="DU32" s="253"/>
      <c r="DV32" s="253"/>
      <c r="DW32" s="253"/>
      <c r="DX32" s="253"/>
      <c r="DY32" s="253"/>
      <c r="DZ32" s="253"/>
      <c r="EA32" s="253"/>
      <c r="EB32" s="253"/>
      <c r="EC32" s="253"/>
      <c r="ED32" s="253"/>
      <c r="EE32" s="253"/>
      <c r="EF32" s="253"/>
      <c r="EG32" s="253"/>
      <c r="EH32" s="253"/>
      <c r="EI32" s="253"/>
      <c r="EJ32" s="253"/>
      <c r="EK32" s="253"/>
      <c r="EL32" s="253"/>
      <c r="EM32" s="253"/>
      <c r="EN32" s="253"/>
      <c r="EO32" s="253"/>
      <c r="EP32" s="253"/>
      <c r="EQ32" s="253"/>
      <c r="ER32" s="253"/>
      <c r="ES32" s="253"/>
      <c r="ET32" s="253"/>
      <c r="EU32" s="253"/>
      <c r="EV32" s="253"/>
      <c r="EW32" s="253"/>
      <c r="EX32" s="253"/>
      <c r="EY32" s="253"/>
      <c r="EZ32" s="253"/>
      <c r="FA32" s="253"/>
      <c r="FB32" s="253"/>
      <c r="FC32" s="253"/>
      <c r="FD32" s="253"/>
      <c r="FE32" s="253"/>
      <c r="FF32" s="253"/>
      <c r="FG32" s="253"/>
      <c r="FH32" s="253"/>
      <c r="FI32" s="253"/>
      <c r="FJ32" s="253"/>
      <c r="FK32" s="253"/>
      <c r="FL32" s="253"/>
      <c r="FM32" s="253"/>
      <c r="FN32" s="253"/>
      <c r="FO32" s="253"/>
      <c r="FP32" s="253"/>
      <c r="FQ32" s="253"/>
      <c r="FR32" s="253"/>
      <c r="FS32" s="253"/>
      <c r="FT32" s="253"/>
      <c r="FU32" s="253"/>
      <c r="FV32" s="253"/>
      <c r="FW32" s="253"/>
      <c r="FX32" s="253"/>
      <c r="FY32" s="253"/>
      <c r="FZ32" s="253"/>
      <c r="GA32" s="253"/>
      <c r="GB32" s="253"/>
      <c r="GC32" s="253"/>
      <c r="GD32" s="253"/>
      <c r="GE32" s="253"/>
      <c r="GF32" s="253"/>
      <c r="GG32" s="253"/>
      <c r="GH32" s="253"/>
      <c r="GI32" s="253"/>
      <c r="GJ32" s="253"/>
      <c r="GK32" s="253"/>
      <c r="GL32" s="253"/>
      <c r="GM32" s="253"/>
      <c r="GN32" s="253"/>
      <c r="GO32" s="253"/>
      <c r="GP32" s="253"/>
      <c r="GQ32" s="253"/>
      <c r="GR32" s="253"/>
      <c r="GS32" s="253"/>
      <c r="GT32" s="253"/>
      <c r="GU32" s="253"/>
      <c r="GV32" s="253"/>
      <c r="GW32" s="253"/>
      <c r="GX32" s="253"/>
      <c r="GY32" s="253"/>
      <c r="GZ32" s="253"/>
      <c r="HA32" s="253"/>
      <c r="HB32" s="253"/>
      <c r="HC32" s="253"/>
      <c r="HD32" s="253"/>
      <c r="HE32" s="253"/>
      <c r="HF32" s="253"/>
      <c r="HG32" s="253"/>
      <c r="HH32" s="253"/>
      <c r="HI32" s="253"/>
      <c r="HJ32" s="253"/>
      <c r="HK32" s="253"/>
      <c r="HL32" s="253"/>
      <c r="HM32" s="253"/>
      <c r="HN32" s="253"/>
      <c r="HO32" s="253"/>
      <c r="HP32" s="253"/>
      <c r="HQ32" s="253"/>
      <c r="HR32" s="253"/>
      <c r="HS32" s="253"/>
      <c r="HT32" s="253"/>
      <c r="HU32" s="253"/>
      <c r="HV32" s="253"/>
      <c r="HW32" s="253"/>
      <c r="HX32" s="253"/>
      <c r="HY32" s="253"/>
      <c r="HZ32" s="253"/>
      <c r="IA32" s="253"/>
      <c r="IB32" s="253"/>
      <c r="IC32" s="253"/>
      <c r="ID32" s="253"/>
      <c r="IE32" s="253"/>
      <c r="IF32" s="253"/>
      <c r="IG32" s="253"/>
      <c r="IH32" s="253"/>
      <c r="II32" s="253"/>
      <c r="IJ32" s="253"/>
      <c r="IK32" s="253"/>
      <c r="IL32" s="253"/>
      <c r="IM32" s="253"/>
      <c r="IN32" s="253"/>
      <c r="IO32" s="253"/>
      <c r="IP32" s="253"/>
      <c r="IQ32" s="253"/>
      <c r="IR32" s="253"/>
      <c r="IS32" s="253"/>
      <c r="IT32" s="253"/>
      <c r="IU32" s="253"/>
    </row>
    <row r="33" spans="1:255" s="254" customFormat="1" ht="12.75" x14ac:dyDescent="0.2">
      <c r="A33" s="263" t="s">
        <v>482</v>
      </c>
      <c r="B33" s="264" t="s">
        <v>476</v>
      </c>
      <c r="C33" s="265" t="s">
        <v>477</v>
      </c>
      <c r="D33" s="266" t="s">
        <v>430</v>
      </c>
      <c r="E33" s="267">
        <v>1.02</v>
      </c>
      <c r="F33" s="268"/>
      <c r="G33" s="269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3"/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53"/>
      <c r="CT33" s="253"/>
      <c r="CU33" s="253"/>
      <c r="CV33" s="253"/>
      <c r="CW33" s="253"/>
      <c r="CX33" s="253"/>
      <c r="CY33" s="253"/>
      <c r="CZ33" s="253"/>
      <c r="DA33" s="253"/>
      <c r="DB33" s="253"/>
      <c r="DC33" s="253"/>
      <c r="DD33" s="253"/>
      <c r="DE33" s="253"/>
      <c r="DF33" s="253"/>
      <c r="DG33" s="253"/>
      <c r="DH33" s="253"/>
      <c r="DI33" s="253"/>
      <c r="DJ33" s="253"/>
      <c r="DK33" s="253"/>
      <c r="DL33" s="262"/>
      <c r="DM33" s="253"/>
      <c r="DN33" s="253"/>
      <c r="DO33" s="253"/>
      <c r="DP33" s="253"/>
      <c r="DQ33" s="253"/>
      <c r="DR33" s="253"/>
      <c r="DS33" s="253"/>
      <c r="DT33" s="253"/>
      <c r="DU33" s="253"/>
      <c r="DV33" s="253"/>
      <c r="DW33" s="253"/>
      <c r="DX33" s="253"/>
      <c r="DY33" s="253"/>
      <c r="DZ33" s="253"/>
      <c r="EA33" s="253"/>
      <c r="EB33" s="253"/>
      <c r="EC33" s="253"/>
      <c r="ED33" s="253"/>
      <c r="EE33" s="253"/>
      <c r="EF33" s="253"/>
      <c r="EG33" s="253"/>
      <c r="EH33" s="253"/>
      <c r="EI33" s="253"/>
      <c r="EJ33" s="253"/>
      <c r="EK33" s="253"/>
      <c r="EL33" s="253"/>
      <c r="EM33" s="253"/>
      <c r="EN33" s="253"/>
      <c r="EO33" s="253"/>
      <c r="EP33" s="253"/>
      <c r="EQ33" s="253"/>
      <c r="ER33" s="253"/>
      <c r="ES33" s="253"/>
      <c r="ET33" s="253"/>
      <c r="EU33" s="253"/>
      <c r="EV33" s="253"/>
      <c r="EW33" s="253"/>
      <c r="EX33" s="253"/>
      <c r="EY33" s="253"/>
      <c r="EZ33" s="253"/>
      <c r="FA33" s="253"/>
      <c r="FB33" s="253"/>
      <c r="FC33" s="253"/>
      <c r="FD33" s="253"/>
      <c r="FE33" s="253"/>
      <c r="FF33" s="253"/>
      <c r="FG33" s="253"/>
      <c r="FH33" s="253"/>
      <c r="FI33" s="253"/>
      <c r="FJ33" s="253"/>
      <c r="FK33" s="253"/>
      <c r="FL33" s="253"/>
      <c r="FM33" s="253"/>
      <c r="FN33" s="253"/>
      <c r="FO33" s="253"/>
      <c r="FP33" s="253"/>
      <c r="FQ33" s="253"/>
      <c r="FR33" s="253"/>
      <c r="FS33" s="253"/>
      <c r="FT33" s="253"/>
      <c r="FU33" s="253"/>
      <c r="FV33" s="253"/>
      <c r="FW33" s="253"/>
      <c r="FX33" s="253"/>
      <c r="FY33" s="253"/>
      <c r="FZ33" s="253"/>
      <c r="GA33" s="253"/>
      <c r="GB33" s="253"/>
      <c r="GC33" s="253"/>
      <c r="GD33" s="253"/>
      <c r="GE33" s="253"/>
      <c r="GF33" s="253"/>
      <c r="GG33" s="253"/>
      <c r="GH33" s="253"/>
      <c r="GI33" s="253"/>
      <c r="GJ33" s="253"/>
      <c r="GK33" s="253"/>
      <c r="GL33" s="253"/>
      <c r="GM33" s="253"/>
      <c r="GN33" s="253"/>
      <c r="GO33" s="253"/>
      <c r="GP33" s="253"/>
      <c r="GQ33" s="253"/>
      <c r="GR33" s="253"/>
      <c r="GS33" s="253"/>
      <c r="GT33" s="253"/>
      <c r="GU33" s="253"/>
      <c r="GV33" s="253"/>
      <c r="GW33" s="253"/>
      <c r="GX33" s="253"/>
      <c r="GY33" s="253"/>
      <c r="GZ33" s="253"/>
      <c r="HA33" s="253"/>
      <c r="HB33" s="253"/>
      <c r="HC33" s="253"/>
      <c r="HD33" s="253"/>
      <c r="HE33" s="253"/>
      <c r="HF33" s="253"/>
      <c r="HG33" s="253"/>
      <c r="HH33" s="253"/>
      <c r="HI33" s="253"/>
      <c r="HJ33" s="253"/>
      <c r="HK33" s="253"/>
      <c r="HL33" s="253"/>
      <c r="HM33" s="253"/>
      <c r="HN33" s="253"/>
      <c r="HO33" s="253"/>
      <c r="HP33" s="253"/>
      <c r="HQ33" s="253"/>
      <c r="HR33" s="253"/>
      <c r="HS33" s="253"/>
      <c r="HT33" s="253"/>
      <c r="HU33" s="253"/>
      <c r="HV33" s="253"/>
      <c r="HW33" s="253"/>
      <c r="HX33" s="253"/>
      <c r="HY33" s="253"/>
      <c r="HZ33" s="253"/>
      <c r="IA33" s="253"/>
      <c r="IB33" s="253"/>
      <c r="IC33" s="253"/>
      <c r="ID33" s="253"/>
      <c r="IE33" s="253"/>
      <c r="IF33" s="253"/>
      <c r="IG33" s="253"/>
      <c r="IH33" s="253"/>
      <c r="II33" s="253"/>
      <c r="IJ33" s="253"/>
      <c r="IK33" s="253"/>
      <c r="IL33" s="253"/>
      <c r="IM33" s="253"/>
      <c r="IN33" s="253"/>
      <c r="IO33" s="253"/>
      <c r="IP33" s="253"/>
      <c r="IQ33" s="253"/>
      <c r="IR33" s="253"/>
      <c r="IS33" s="253"/>
      <c r="IT33" s="253"/>
      <c r="IU33" s="253"/>
    </row>
    <row r="34" spans="1:255" s="254" customFormat="1" ht="12.75" x14ac:dyDescent="0.2">
      <c r="A34" s="316"/>
      <c r="B34" s="317"/>
      <c r="C34" s="318"/>
      <c r="D34" s="319"/>
      <c r="E34" s="320"/>
      <c r="F34" s="321"/>
      <c r="G34" s="322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3"/>
      <c r="AP34" s="253"/>
      <c r="AQ34" s="253"/>
      <c r="AR34" s="253"/>
      <c r="AS34" s="253"/>
      <c r="AT34" s="253"/>
      <c r="AU34" s="253"/>
      <c r="AV34" s="253"/>
      <c r="AW34" s="253"/>
      <c r="AX34" s="253"/>
      <c r="AY34" s="253"/>
      <c r="AZ34" s="253"/>
      <c r="BA34" s="253"/>
      <c r="BB34" s="253"/>
      <c r="BC34" s="253"/>
      <c r="BD34" s="253"/>
      <c r="BE34" s="253"/>
      <c r="BF34" s="253"/>
      <c r="BG34" s="253"/>
      <c r="BH34" s="253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  <c r="CK34" s="253"/>
      <c r="CL34" s="253"/>
      <c r="CM34" s="253"/>
      <c r="CN34" s="253"/>
      <c r="CO34" s="253"/>
      <c r="CP34" s="253"/>
      <c r="CQ34" s="253"/>
      <c r="CR34" s="253"/>
      <c r="CS34" s="253"/>
      <c r="CT34" s="253"/>
      <c r="CU34" s="253"/>
      <c r="CV34" s="253"/>
      <c r="CW34" s="253"/>
      <c r="CX34" s="253"/>
      <c r="CY34" s="253"/>
      <c r="CZ34" s="253"/>
      <c r="DA34" s="253"/>
      <c r="DB34" s="253"/>
      <c r="DC34" s="253"/>
      <c r="DD34" s="253"/>
      <c r="DE34" s="253"/>
      <c r="DF34" s="253"/>
      <c r="DG34" s="253"/>
      <c r="DH34" s="253"/>
      <c r="DI34" s="253"/>
      <c r="DJ34" s="253"/>
      <c r="DK34" s="253"/>
      <c r="DL34" s="262"/>
      <c r="DM34" s="253"/>
      <c r="DN34" s="253"/>
      <c r="DO34" s="253"/>
      <c r="DP34" s="253"/>
      <c r="DQ34" s="253"/>
      <c r="DR34" s="253"/>
      <c r="DS34" s="253"/>
      <c r="DT34" s="253"/>
      <c r="DU34" s="253"/>
      <c r="DV34" s="253"/>
      <c r="DW34" s="253"/>
      <c r="DX34" s="253"/>
      <c r="DY34" s="253"/>
      <c r="DZ34" s="253"/>
      <c r="EA34" s="253"/>
      <c r="EB34" s="253"/>
      <c r="EC34" s="253"/>
      <c r="ED34" s="253"/>
      <c r="EE34" s="253"/>
      <c r="EF34" s="253"/>
      <c r="EG34" s="253"/>
      <c r="EH34" s="253"/>
      <c r="EI34" s="253"/>
      <c r="EJ34" s="253"/>
      <c r="EK34" s="253"/>
      <c r="EL34" s="253"/>
      <c r="EM34" s="253"/>
      <c r="EN34" s="253"/>
      <c r="EO34" s="253"/>
      <c r="EP34" s="253"/>
      <c r="EQ34" s="253"/>
      <c r="ER34" s="253"/>
      <c r="ES34" s="253"/>
      <c r="ET34" s="253"/>
      <c r="EU34" s="253"/>
      <c r="EV34" s="253"/>
      <c r="EW34" s="253"/>
      <c r="EX34" s="253"/>
      <c r="EY34" s="253"/>
      <c r="EZ34" s="253"/>
      <c r="FA34" s="253"/>
      <c r="FB34" s="253"/>
      <c r="FC34" s="253"/>
      <c r="FD34" s="253"/>
      <c r="FE34" s="253"/>
      <c r="FF34" s="253"/>
      <c r="FG34" s="253"/>
      <c r="FH34" s="253"/>
      <c r="FI34" s="253"/>
      <c r="FJ34" s="253"/>
      <c r="FK34" s="253"/>
      <c r="FL34" s="253"/>
      <c r="FM34" s="253"/>
      <c r="FN34" s="253"/>
      <c r="FO34" s="253"/>
      <c r="FP34" s="253"/>
      <c r="FQ34" s="253"/>
      <c r="FR34" s="253"/>
      <c r="FS34" s="253"/>
      <c r="FT34" s="253"/>
      <c r="FU34" s="253"/>
      <c r="FV34" s="253"/>
      <c r="FW34" s="253"/>
      <c r="FX34" s="253"/>
      <c r="FY34" s="253"/>
      <c r="FZ34" s="253"/>
      <c r="GA34" s="253"/>
      <c r="GB34" s="253"/>
      <c r="GC34" s="253"/>
      <c r="GD34" s="253"/>
      <c r="GE34" s="253"/>
      <c r="GF34" s="253"/>
      <c r="GG34" s="253"/>
      <c r="GH34" s="253"/>
      <c r="GI34" s="253"/>
      <c r="GJ34" s="253"/>
      <c r="GK34" s="253"/>
      <c r="GL34" s="253"/>
      <c r="GM34" s="253"/>
      <c r="GN34" s="253"/>
      <c r="GO34" s="253"/>
      <c r="GP34" s="253"/>
      <c r="GQ34" s="253"/>
      <c r="GR34" s="253"/>
      <c r="GS34" s="253"/>
      <c r="GT34" s="253"/>
      <c r="GU34" s="253"/>
      <c r="GV34" s="253"/>
      <c r="GW34" s="253"/>
      <c r="GX34" s="253"/>
      <c r="GY34" s="253"/>
      <c r="GZ34" s="253"/>
      <c r="HA34" s="253"/>
      <c r="HB34" s="253"/>
      <c r="HC34" s="253"/>
      <c r="HD34" s="253"/>
      <c r="HE34" s="253"/>
      <c r="HF34" s="253"/>
      <c r="HG34" s="253"/>
      <c r="HH34" s="253"/>
      <c r="HI34" s="253"/>
      <c r="HJ34" s="253"/>
      <c r="HK34" s="253"/>
      <c r="HL34" s="253"/>
      <c r="HM34" s="253"/>
      <c r="HN34" s="253"/>
      <c r="HO34" s="253"/>
      <c r="HP34" s="253"/>
      <c r="HQ34" s="253"/>
      <c r="HR34" s="253"/>
      <c r="HS34" s="253"/>
      <c r="HT34" s="253"/>
      <c r="HU34" s="253"/>
      <c r="HV34" s="253"/>
      <c r="HW34" s="253"/>
      <c r="HX34" s="253"/>
      <c r="HY34" s="253"/>
      <c r="HZ34" s="253"/>
      <c r="IA34" s="253"/>
      <c r="IB34" s="253"/>
      <c r="IC34" s="253"/>
      <c r="ID34" s="253"/>
      <c r="IE34" s="253"/>
      <c r="IF34" s="253"/>
      <c r="IG34" s="253"/>
      <c r="IH34" s="253"/>
      <c r="II34" s="253"/>
      <c r="IJ34" s="253"/>
      <c r="IK34" s="253"/>
      <c r="IL34" s="253"/>
      <c r="IM34" s="253"/>
      <c r="IN34" s="253"/>
      <c r="IO34" s="253"/>
      <c r="IP34" s="253"/>
      <c r="IQ34" s="253"/>
      <c r="IR34" s="253"/>
      <c r="IS34" s="253"/>
      <c r="IT34" s="253"/>
      <c r="IU34" s="253"/>
    </row>
    <row r="35" spans="1:255" s="274" customFormat="1" x14ac:dyDescent="0.2">
      <c r="A35" s="397" t="s">
        <v>434</v>
      </c>
      <c r="B35" s="397"/>
      <c r="C35" s="398" t="s">
        <v>445</v>
      </c>
      <c r="D35" s="398"/>
      <c r="E35" s="398"/>
      <c r="F35" s="398"/>
      <c r="G35" s="398"/>
    </row>
    <row r="36" spans="1:255" s="254" customFormat="1" ht="47.25" x14ac:dyDescent="0.2">
      <c r="A36" s="101">
        <v>164</v>
      </c>
      <c r="B36" s="109" t="s">
        <v>442</v>
      </c>
      <c r="C36" s="102" t="s">
        <v>455</v>
      </c>
      <c r="D36" s="103" t="s">
        <v>443</v>
      </c>
      <c r="E36" s="104">
        <v>0.27700000000000002</v>
      </c>
      <c r="F36" s="251"/>
      <c r="G36" s="252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3"/>
      <c r="BK36" s="253"/>
      <c r="BL36" s="253"/>
      <c r="BM36" s="253"/>
      <c r="BN36" s="253"/>
      <c r="BO36" s="253"/>
      <c r="BP36" s="253"/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3"/>
      <c r="CP36" s="253"/>
      <c r="CQ36" s="253"/>
      <c r="CR36" s="253"/>
      <c r="CS36" s="253"/>
      <c r="CT36" s="253"/>
      <c r="CU36" s="253"/>
      <c r="CV36" s="253"/>
      <c r="CW36" s="253"/>
      <c r="CX36" s="253"/>
      <c r="CY36" s="253"/>
      <c r="CZ36" s="253"/>
      <c r="DA36" s="253"/>
      <c r="DB36" s="253"/>
      <c r="DC36" s="253"/>
      <c r="DD36" s="253"/>
      <c r="DE36" s="253"/>
      <c r="DF36" s="253"/>
      <c r="DG36" s="253"/>
      <c r="DH36" s="253"/>
      <c r="DI36" s="253"/>
      <c r="DJ36" s="253"/>
      <c r="DK36" s="253"/>
      <c r="DL36" s="253"/>
      <c r="DM36" s="253"/>
      <c r="DN36" s="253"/>
      <c r="DO36" s="253"/>
      <c r="DP36" s="253"/>
      <c r="DQ36" s="253"/>
      <c r="DR36" s="253"/>
      <c r="DS36" s="253"/>
      <c r="DT36" s="253"/>
      <c r="DU36" s="253"/>
      <c r="DV36" s="253"/>
      <c r="DW36" s="253"/>
      <c r="DX36" s="253"/>
      <c r="DY36" s="253"/>
      <c r="DZ36" s="253"/>
      <c r="EA36" s="253"/>
      <c r="EB36" s="253"/>
      <c r="EC36" s="253"/>
      <c r="ED36" s="253"/>
      <c r="EE36" s="253"/>
      <c r="EF36" s="253"/>
      <c r="EG36" s="253"/>
      <c r="EH36" s="253"/>
      <c r="EI36" s="253"/>
      <c r="EJ36" s="253"/>
      <c r="EK36" s="253"/>
      <c r="EL36" s="253"/>
      <c r="EM36" s="253"/>
      <c r="EN36" s="253"/>
      <c r="EO36" s="253"/>
      <c r="EP36" s="253"/>
      <c r="EQ36" s="253"/>
      <c r="ER36" s="253"/>
      <c r="ES36" s="253"/>
      <c r="ET36" s="253"/>
      <c r="EU36" s="253"/>
      <c r="EV36" s="253"/>
      <c r="EW36" s="253"/>
      <c r="EX36" s="253"/>
      <c r="EY36" s="253"/>
      <c r="EZ36" s="253"/>
      <c r="FA36" s="253"/>
      <c r="FB36" s="253"/>
      <c r="FC36" s="253"/>
      <c r="FD36" s="253"/>
      <c r="FE36" s="253"/>
      <c r="FF36" s="253"/>
      <c r="FG36" s="253"/>
      <c r="FH36" s="253"/>
      <c r="FI36" s="253"/>
      <c r="FJ36" s="253"/>
      <c r="FK36" s="253"/>
      <c r="FL36" s="253"/>
      <c r="FM36" s="253"/>
      <c r="FN36" s="253"/>
      <c r="FO36" s="253"/>
      <c r="FP36" s="253"/>
      <c r="FQ36" s="253"/>
      <c r="FR36" s="253"/>
      <c r="FS36" s="253"/>
      <c r="FT36" s="253"/>
      <c r="FU36" s="253"/>
      <c r="FV36" s="253"/>
      <c r="FW36" s="253"/>
      <c r="FX36" s="253"/>
      <c r="FY36" s="253"/>
      <c r="FZ36" s="253"/>
      <c r="GA36" s="253"/>
      <c r="GB36" s="253"/>
      <c r="GC36" s="253"/>
      <c r="GD36" s="253"/>
      <c r="GE36" s="253"/>
      <c r="GF36" s="253"/>
      <c r="GG36" s="253"/>
      <c r="GH36" s="253"/>
      <c r="GI36" s="253"/>
      <c r="GJ36" s="253"/>
      <c r="GK36" s="253"/>
      <c r="GL36" s="253"/>
      <c r="GM36" s="253"/>
      <c r="GN36" s="253"/>
      <c r="GO36" s="253"/>
      <c r="GP36" s="253"/>
      <c r="GQ36" s="253"/>
      <c r="GR36" s="253"/>
      <c r="GS36" s="253"/>
      <c r="GT36" s="253"/>
      <c r="GU36" s="253"/>
      <c r="GV36" s="253"/>
      <c r="GW36" s="253"/>
      <c r="GX36" s="253"/>
      <c r="GY36" s="253"/>
      <c r="GZ36" s="253"/>
      <c r="HA36" s="253"/>
      <c r="HB36" s="253"/>
      <c r="HC36" s="253"/>
      <c r="HD36" s="253"/>
      <c r="HE36" s="253"/>
      <c r="HF36" s="253"/>
      <c r="HG36" s="253"/>
      <c r="HH36" s="253"/>
      <c r="HI36" s="253"/>
      <c r="HJ36" s="253"/>
      <c r="HK36" s="253"/>
      <c r="HL36" s="253"/>
      <c r="HM36" s="253"/>
      <c r="HN36" s="253"/>
      <c r="HO36" s="253"/>
      <c r="HP36" s="253"/>
      <c r="HQ36" s="253"/>
      <c r="HR36" s="253"/>
      <c r="HS36" s="253"/>
      <c r="HT36" s="253"/>
      <c r="HU36" s="253"/>
      <c r="HV36" s="253"/>
      <c r="HW36" s="253"/>
      <c r="HX36" s="253"/>
      <c r="HY36" s="253"/>
      <c r="HZ36" s="253"/>
      <c r="IA36" s="253"/>
      <c r="IB36" s="253"/>
      <c r="IC36" s="253"/>
      <c r="ID36" s="253"/>
      <c r="IE36" s="253"/>
      <c r="IF36" s="253"/>
      <c r="IG36" s="253"/>
      <c r="IH36" s="253"/>
      <c r="II36" s="253"/>
      <c r="IJ36" s="253"/>
      <c r="IK36" s="253"/>
      <c r="IL36" s="253"/>
      <c r="IM36" s="253"/>
      <c r="IN36" s="253"/>
      <c r="IO36" s="253"/>
      <c r="IP36" s="253"/>
      <c r="IQ36" s="253"/>
      <c r="IR36" s="253"/>
      <c r="IS36" s="253"/>
      <c r="IT36" s="253"/>
      <c r="IU36" s="253"/>
    </row>
    <row r="37" spans="1:255" s="254" customFormat="1" ht="24" x14ac:dyDescent="0.2">
      <c r="A37" s="255" t="s">
        <v>465</v>
      </c>
      <c r="B37" s="256" t="s">
        <v>452</v>
      </c>
      <c r="C37" s="257" t="s">
        <v>451</v>
      </c>
      <c r="D37" s="258" t="s">
        <v>430</v>
      </c>
      <c r="E37" s="259">
        <v>55.4</v>
      </c>
      <c r="F37" s="260"/>
      <c r="G37" s="261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>
        <v>324300</v>
      </c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3"/>
      <c r="DE37" s="253"/>
      <c r="DF37" s="253"/>
      <c r="DG37" s="253"/>
      <c r="DH37" s="253"/>
      <c r="DI37" s="253">
        <v>644731.61</v>
      </c>
      <c r="DJ37" s="253"/>
      <c r="DK37" s="253"/>
      <c r="DL37" s="262">
        <v>644731.61</v>
      </c>
      <c r="DM37" s="253">
        <v>324300</v>
      </c>
      <c r="DN37" s="253"/>
      <c r="DO37" s="253"/>
      <c r="DP37" s="253"/>
      <c r="DQ37" s="253"/>
      <c r="DR37" s="253"/>
      <c r="DS37" s="253"/>
      <c r="DT37" s="253"/>
      <c r="DU37" s="253"/>
      <c r="DV37" s="253"/>
      <c r="DW37" s="253"/>
      <c r="DX37" s="253"/>
      <c r="DY37" s="253"/>
      <c r="DZ37" s="253"/>
      <c r="EA37" s="253"/>
      <c r="EB37" s="253"/>
      <c r="EC37" s="253"/>
      <c r="ED37" s="253"/>
      <c r="EE37" s="253"/>
      <c r="EF37" s="253"/>
      <c r="EG37" s="253"/>
      <c r="EH37" s="253"/>
      <c r="EI37" s="253"/>
      <c r="EJ37" s="253"/>
      <c r="EK37" s="253"/>
      <c r="EL37" s="253"/>
      <c r="EM37" s="253"/>
      <c r="EN37" s="253"/>
      <c r="EO37" s="253"/>
      <c r="EP37" s="253"/>
      <c r="EQ37" s="253"/>
      <c r="ER37" s="253"/>
      <c r="ES37" s="253"/>
      <c r="ET37" s="253"/>
      <c r="EU37" s="253"/>
      <c r="EV37" s="253"/>
      <c r="EW37" s="253"/>
      <c r="EX37" s="253"/>
      <c r="EY37" s="253"/>
      <c r="EZ37" s="253"/>
      <c r="FA37" s="253"/>
      <c r="FB37" s="253"/>
      <c r="FC37" s="253"/>
      <c r="FD37" s="253"/>
      <c r="FE37" s="253"/>
      <c r="FF37" s="253"/>
      <c r="FG37" s="253"/>
      <c r="FH37" s="253"/>
      <c r="FI37" s="253"/>
      <c r="FJ37" s="253"/>
      <c r="FK37" s="253"/>
      <c r="FL37" s="253"/>
      <c r="FM37" s="253"/>
      <c r="FN37" s="253"/>
      <c r="FO37" s="253"/>
      <c r="FP37" s="253"/>
      <c r="FQ37" s="253"/>
      <c r="FR37" s="253"/>
      <c r="FS37" s="253"/>
      <c r="FT37" s="253"/>
      <c r="FU37" s="253"/>
      <c r="FV37" s="253"/>
      <c r="FW37" s="253"/>
      <c r="FX37" s="253"/>
      <c r="FY37" s="253"/>
      <c r="FZ37" s="253"/>
      <c r="GA37" s="253"/>
      <c r="GB37" s="253"/>
      <c r="GC37" s="253"/>
      <c r="GD37" s="253"/>
      <c r="GE37" s="253"/>
      <c r="GF37" s="253"/>
      <c r="GG37" s="253"/>
      <c r="GH37" s="253"/>
      <c r="GI37" s="253"/>
      <c r="GJ37" s="253"/>
      <c r="GK37" s="253"/>
      <c r="GL37" s="253"/>
      <c r="GM37" s="253"/>
      <c r="GN37" s="253"/>
      <c r="GO37" s="253"/>
      <c r="GP37" s="253"/>
      <c r="GQ37" s="253"/>
      <c r="GR37" s="253"/>
      <c r="GS37" s="253"/>
      <c r="GT37" s="253"/>
      <c r="GU37" s="253"/>
      <c r="GV37" s="253"/>
      <c r="GW37" s="253"/>
      <c r="GX37" s="253"/>
      <c r="GY37" s="253"/>
      <c r="GZ37" s="253"/>
      <c r="HA37" s="253"/>
      <c r="HB37" s="253"/>
      <c r="HC37" s="253"/>
      <c r="HD37" s="253"/>
      <c r="HE37" s="253"/>
      <c r="HF37" s="253"/>
      <c r="HG37" s="253"/>
      <c r="HH37" s="253"/>
      <c r="HI37" s="253"/>
      <c r="HJ37" s="253"/>
      <c r="HK37" s="253"/>
      <c r="HL37" s="253"/>
      <c r="HM37" s="253"/>
      <c r="HN37" s="253"/>
      <c r="HO37" s="253"/>
      <c r="HP37" s="253"/>
      <c r="HQ37" s="253"/>
      <c r="HR37" s="253"/>
      <c r="HS37" s="253"/>
      <c r="HT37" s="253"/>
      <c r="HU37" s="253"/>
      <c r="HV37" s="253"/>
      <c r="HW37" s="253"/>
      <c r="HX37" s="253"/>
      <c r="HY37" s="253"/>
      <c r="HZ37" s="253"/>
      <c r="IA37" s="253"/>
      <c r="IB37" s="253"/>
      <c r="IC37" s="253"/>
      <c r="ID37" s="253"/>
      <c r="IE37" s="253"/>
      <c r="IF37" s="253"/>
      <c r="IG37" s="253"/>
      <c r="IH37" s="253"/>
      <c r="II37" s="253"/>
      <c r="IJ37" s="253"/>
      <c r="IK37" s="253"/>
      <c r="IL37" s="253"/>
      <c r="IM37" s="253"/>
      <c r="IN37" s="253"/>
      <c r="IO37" s="253"/>
      <c r="IP37" s="253"/>
      <c r="IQ37" s="253"/>
      <c r="IR37" s="253"/>
      <c r="IS37" s="253"/>
      <c r="IT37" s="253"/>
      <c r="IU37" s="253"/>
    </row>
    <row r="38" spans="1:255" s="254" customFormat="1" ht="56.25" x14ac:dyDescent="0.2">
      <c r="A38" s="255">
        <v>165</v>
      </c>
      <c r="B38" s="256" t="s">
        <v>458</v>
      </c>
      <c r="C38" s="257" t="s">
        <v>472</v>
      </c>
      <c r="D38" s="258" t="s">
        <v>459</v>
      </c>
      <c r="E38" s="259">
        <v>0.3</v>
      </c>
      <c r="F38" s="260"/>
      <c r="G38" s="32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3"/>
      <c r="CP38" s="253"/>
      <c r="CQ38" s="253"/>
      <c r="CR38" s="253"/>
      <c r="CS38" s="253"/>
      <c r="CT38" s="253"/>
      <c r="CU38" s="253"/>
      <c r="CV38" s="253"/>
      <c r="CW38" s="253"/>
      <c r="CX38" s="253"/>
      <c r="CY38" s="253"/>
      <c r="CZ38" s="253"/>
      <c r="DA38" s="253"/>
      <c r="DB38" s="253"/>
      <c r="DC38" s="253"/>
      <c r="DD38" s="253"/>
      <c r="DE38" s="253"/>
      <c r="DF38" s="253"/>
      <c r="DG38" s="253"/>
      <c r="DH38" s="253"/>
      <c r="DI38" s="253"/>
      <c r="DJ38" s="253"/>
      <c r="DK38" s="253"/>
      <c r="DL38" s="262"/>
      <c r="DM38" s="253"/>
      <c r="DN38" s="253"/>
      <c r="DO38" s="253"/>
      <c r="DP38" s="253"/>
      <c r="DQ38" s="253"/>
      <c r="DR38" s="253"/>
      <c r="DS38" s="253"/>
      <c r="DT38" s="253"/>
      <c r="DU38" s="253"/>
      <c r="DV38" s="253"/>
      <c r="DW38" s="253"/>
      <c r="DX38" s="253"/>
      <c r="DY38" s="253"/>
      <c r="DZ38" s="253"/>
      <c r="EA38" s="253"/>
      <c r="EB38" s="253"/>
      <c r="EC38" s="253"/>
      <c r="ED38" s="253"/>
      <c r="EE38" s="253"/>
      <c r="EF38" s="253"/>
      <c r="EG38" s="253"/>
      <c r="EH38" s="253"/>
      <c r="EI38" s="253"/>
      <c r="EJ38" s="253"/>
      <c r="EK38" s="253"/>
      <c r="EL38" s="253"/>
      <c r="EM38" s="253"/>
      <c r="EN38" s="253"/>
      <c r="EO38" s="253"/>
      <c r="EP38" s="253"/>
      <c r="EQ38" s="253"/>
      <c r="ER38" s="253"/>
      <c r="ES38" s="253"/>
      <c r="ET38" s="253"/>
      <c r="EU38" s="253"/>
      <c r="EV38" s="253"/>
      <c r="EW38" s="253"/>
      <c r="EX38" s="253"/>
      <c r="EY38" s="253"/>
      <c r="EZ38" s="253"/>
      <c r="FA38" s="253"/>
      <c r="FB38" s="253"/>
      <c r="FC38" s="253"/>
      <c r="FD38" s="253"/>
      <c r="FE38" s="253"/>
      <c r="FF38" s="253"/>
      <c r="FG38" s="253"/>
      <c r="FH38" s="253"/>
      <c r="FI38" s="253"/>
      <c r="FJ38" s="253"/>
      <c r="FK38" s="253"/>
      <c r="FL38" s="253"/>
      <c r="FM38" s="253"/>
      <c r="FN38" s="253"/>
      <c r="FO38" s="253"/>
      <c r="FP38" s="253"/>
      <c r="FQ38" s="253"/>
      <c r="FR38" s="253"/>
      <c r="FS38" s="253"/>
      <c r="FT38" s="253"/>
      <c r="FU38" s="253"/>
      <c r="FV38" s="253"/>
      <c r="FW38" s="253"/>
      <c r="FX38" s="253"/>
      <c r="FY38" s="253"/>
      <c r="FZ38" s="253"/>
      <c r="GA38" s="253"/>
      <c r="GB38" s="253"/>
      <c r="GC38" s="253"/>
      <c r="GD38" s="253"/>
      <c r="GE38" s="253"/>
      <c r="GF38" s="253"/>
      <c r="GG38" s="253"/>
      <c r="GH38" s="253"/>
      <c r="GI38" s="253"/>
      <c r="GJ38" s="253"/>
      <c r="GK38" s="253"/>
      <c r="GL38" s="253"/>
      <c r="GM38" s="253"/>
      <c r="GN38" s="253"/>
      <c r="GO38" s="253"/>
      <c r="GP38" s="253"/>
      <c r="GQ38" s="253"/>
      <c r="GR38" s="253"/>
      <c r="GS38" s="253"/>
      <c r="GT38" s="253"/>
      <c r="GU38" s="253"/>
      <c r="GV38" s="253"/>
      <c r="GW38" s="253"/>
      <c r="GX38" s="253"/>
      <c r="GY38" s="253"/>
      <c r="GZ38" s="253"/>
      <c r="HA38" s="253"/>
      <c r="HB38" s="253"/>
      <c r="HC38" s="253"/>
      <c r="HD38" s="253"/>
      <c r="HE38" s="253"/>
      <c r="HF38" s="253"/>
      <c r="HG38" s="253"/>
      <c r="HH38" s="253"/>
      <c r="HI38" s="253"/>
      <c r="HJ38" s="253"/>
      <c r="HK38" s="253"/>
      <c r="HL38" s="253"/>
      <c r="HM38" s="253"/>
      <c r="HN38" s="253"/>
      <c r="HO38" s="253"/>
      <c r="HP38" s="253"/>
      <c r="HQ38" s="253"/>
      <c r="HR38" s="253"/>
      <c r="HS38" s="253"/>
      <c r="HT38" s="253"/>
      <c r="HU38" s="253"/>
      <c r="HV38" s="253"/>
      <c r="HW38" s="253"/>
      <c r="HX38" s="253"/>
      <c r="HY38" s="253"/>
      <c r="HZ38" s="253"/>
      <c r="IA38" s="253"/>
      <c r="IB38" s="253"/>
      <c r="IC38" s="253"/>
      <c r="ID38" s="253"/>
      <c r="IE38" s="253"/>
      <c r="IF38" s="253"/>
      <c r="IG38" s="253"/>
      <c r="IH38" s="253"/>
      <c r="II38" s="253"/>
      <c r="IJ38" s="253"/>
      <c r="IK38" s="253"/>
      <c r="IL38" s="253"/>
      <c r="IM38" s="253"/>
      <c r="IN38" s="253"/>
      <c r="IO38" s="253"/>
      <c r="IP38" s="253"/>
      <c r="IQ38" s="253"/>
      <c r="IR38" s="253"/>
      <c r="IS38" s="253"/>
      <c r="IT38" s="253"/>
      <c r="IU38" s="253"/>
    </row>
    <row r="39" spans="1:255" s="254" customFormat="1" ht="24" x14ac:dyDescent="0.2">
      <c r="A39" s="255" t="s">
        <v>483</v>
      </c>
      <c r="B39" s="256" t="s">
        <v>460</v>
      </c>
      <c r="C39" s="257" t="s">
        <v>461</v>
      </c>
      <c r="D39" s="258" t="s">
        <v>194</v>
      </c>
      <c r="E39" s="259">
        <v>2.7000000000000001E-3</v>
      </c>
      <c r="F39" s="260"/>
      <c r="G39" s="32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53"/>
      <c r="CT39" s="253"/>
      <c r="CU39" s="253"/>
      <c r="CV39" s="253"/>
      <c r="CW39" s="253"/>
      <c r="CX39" s="253"/>
      <c r="CY39" s="253"/>
      <c r="CZ39" s="253"/>
      <c r="DA39" s="253"/>
      <c r="DB39" s="253"/>
      <c r="DC39" s="253"/>
      <c r="DD39" s="253"/>
      <c r="DE39" s="253"/>
      <c r="DF39" s="253"/>
      <c r="DG39" s="253"/>
      <c r="DH39" s="253"/>
      <c r="DI39" s="253"/>
      <c r="DJ39" s="253"/>
      <c r="DK39" s="253"/>
      <c r="DL39" s="262"/>
      <c r="DM39" s="253"/>
      <c r="DN39" s="253"/>
      <c r="DO39" s="253"/>
      <c r="DP39" s="253"/>
      <c r="DQ39" s="253"/>
      <c r="DR39" s="253"/>
      <c r="DS39" s="253"/>
      <c r="DT39" s="253"/>
      <c r="DU39" s="253"/>
      <c r="DV39" s="253"/>
      <c r="DW39" s="253"/>
      <c r="DX39" s="253"/>
      <c r="DY39" s="253"/>
      <c r="DZ39" s="253"/>
      <c r="EA39" s="253"/>
      <c r="EB39" s="253"/>
      <c r="EC39" s="253"/>
      <c r="ED39" s="253"/>
      <c r="EE39" s="253"/>
      <c r="EF39" s="253"/>
      <c r="EG39" s="253"/>
      <c r="EH39" s="253"/>
      <c r="EI39" s="253"/>
      <c r="EJ39" s="253"/>
      <c r="EK39" s="253"/>
      <c r="EL39" s="253"/>
      <c r="EM39" s="253"/>
      <c r="EN39" s="253"/>
      <c r="EO39" s="253"/>
      <c r="EP39" s="253"/>
      <c r="EQ39" s="253"/>
      <c r="ER39" s="253"/>
      <c r="ES39" s="253"/>
      <c r="ET39" s="253"/>
      <c r="EU39" s="253"/>
      <c r="EV39" s="253"/>
      <c r="EW39" s="253"/>
      <c r="EX39" s="253"/>
      <c r="EY39" s="253"/>
      <c r="EZ39" s="253"/>
      <c r="FA39" s="253"/>
      <c r="FB39" s="253"/>
      <c r="FC39" s="253"/>
      <c r="FD39" s="253"/>
      <c r="FE39" s="253"/>
      <c r="FF39" s="253"/>
      <c r="FG39" s="253"/>
      <c r="FH39" s="253"/>
      <c r="FI39" s="253"/>
      <c r="FJ39" s="253"/>
      <c r="FK39" s="253"/>
      <c r="FL39" s="253"/>
      <c r="FM39" s="253"/>
      <c r="FN39" s="253"/>
      <c r="FO39" s="253"/>
      <c r="FP39" s="253"/>
      <c r="FQ39" s="253"/>
      <c r="FR39" s="253"/>
      <c r="FS39" s="253"/>
      <c r="FT39" s="253"/>
      <c r="FU39" s="253"/>
      <c r="FV39" s="253"/>
      <c r="FW39" s="253"/>
      <c r="FX39" s="253"/>
      <c r="FY39" s="253"/>
      <c r="FZ39" s="253"/>
      <c r="GA39" s="253"/>
      <c r="GB39" s="253"/>
      <c r="GC39" s="253"/>
      <c r="GD39" s="253"/>
      <c r="GE39" s="253"/>
      <c r="GF39" s="253"/>
      <c r="GG39" s="253"/>
      <c r="GH39" s="253"/>
      <c r="GI39" s="253"/>
      <c r="GJ39" s="253"/>
      <c r="GK39" s="253"/>
      <c r="GL39" s="253"/>
      <c r="GM39" s="253"/>
      <c r="GN39" s="253"/>
      <c r="GO39" s="253"/>
      <c r="GP39" s="253"/>
      <c r="GQ39" s="253"/>
      <c r="GR39" s="253"/>
      <c r="GS39" s="253"/>
      <c r="GT39" s="253"/>
      <c r="GU39" s="253"/>
      <c r="GV39" s="253"/>
      <c r="GW39" s="253"/>
      <c r="GX39" s="253"/>
      <c r="GY39" s="253"/>
      <c r="GZ39" s="253"/>
      <c r="HA39" s="253"/>
      <c r="HB39" s="253"/>
      <c r="HC39" s="253"/>
      <c r="HD39" s="253"/>
      <c r="HE39" s="253"/>
      <c r="HF39" s="253"/>
      <c r="HG39" s="253"/>
      <c r="HH39" s="253"/>
      <c r="HI39" s="253"/>
      <c r="HJ39" s="253"/>
      <c r="HK39" s="253"/>
      <c r="HL39" s="253"/>
      <c r="HM39" s="253"/>
      <c r="HN39" s="253"/>
      <c r="HO39" s="253"/>
      <c r="HP39" s="253"/>
      <c r="HQ39" s="253"/>
      <c r="HR39" s="253"/>
      <c r="HS39" s="253"/>
      <c r="HT39" s="253"/>
      <c r="HU39" s="253"/>
      <c r="HV39" s="253"/>
      <c r="HW39" s="253"/>
      <c r="HX39" s="253"/>
      <c r="HY39" s="253"/>
      <c r="HZ39" s="253"/>
      <c r="IA39" s="253"/>
      <c r="IB39" s="253"/>
      <c r="IC39" s="253"/>
      <c r="ID39" s="253"/>
      <c r="IE39" s="253"/>
      <c r="IF39" s="253"/>
      <c r="IG39" s="253"/>
      <c r="IH39" s="253"/>
      <c r="II39" s="253"/>
      <c r="IJ39" s="253"/>
      <c r="IK39" s="253"/>
      <c r="IL39" s="253"/>
      <c r="IM39" s="253"/>
      <c r="IN39" s="253"/>
      <c r="IO39" s="253"/>
      <c r="IP39" s="253"/>
      <c r="IQ39" s="253"/>
      <c r="IR39" s="253"/>
      <c r="IS39" s="253"/>
      <c r="IT39" s="253"/>
      <c r="IU39" s="253"/>
    </row>
    <row r="40" spans="1:255" s="254" customFormat="1" ht="24" x14ac:dyDescent="0.2">
      <c r="A40" s="255" t="s">
        <v>484</v>
      </c>
      <c r="B40" s="256" t="s">
        <v>462</v>
      </c>
      <c r="C40" s="257" t="s">
        <v>463</v>
      </c>
      <c r="D40" s="258" t="s">
        <v>464</v>
      </c>
      <c r="E40" s="259">
        <v>1.0500000000000001E-2</v>
      </c>
      <c r="F40" s="260"/>
      <c r="G40" s="32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O40" s="253"/>
      <c r="BP40" s="253"/>
      <c r="BQ40" s="253"/>
      <c r="BR40" s="253"/>
      <c r="BS40" s="253"/>
      <c r="BT40" s="253"/>
      <c r="BU40" s="253"/>
      <c r="BV40" s="253"/>
      <c r="BW40" s="253"/>
      <c r="BX40" s="253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53"/>
      <c r="CT40" s="253"/>
      <c r="CU40" s="253"/>
      <c r="CV40" s="253"/>
      <c r="CW40" s="253"/>
      <c r="CX40" s="253"/>
      <c r="CY40" s="253"/>
      <c r="CZ40" s="253"/>
      <c r="DA40" s="253"/>
      <c r="DB40" s="253"/>
      <c r="DC40" s="253"/>
      <c r="DD40" s="253"/>
      <c r="DE40" s="253"/>
      <c r="DF40" s="253"/>
      <c r="DG40" s="253"/>
      <c r="DH40" s="253"/>
      <c r="DI40" s="253"/>
      <c r="DJ40" s="253"/>
      <c r="DK40" s="253"/>
      <c r="DL40" s="262"/>
      <c r="DM40" s="253"/>
      <c r="DN40" s="253"/>
      <c r="DO40" s="253"/>
      <c r="DP40" s="253"/>
      <c r="DQ40" s="253"/>
      <c r="DR40" s="253"/>
      <c r="DS40" s="253"/>
      <c r="DT40" s="253"/>
      <c r="DU40" s="253"/>
      <c r="DV40" s="253"/>
      <c r="DW40" s="253"/>
      <c r="DX40" s="253"/>
      <c r="DY40" s="253"/>
      <c r="DZ40" s="253"/>
      <c r="EA40" s="253"/>
      <c r="EB40" s="253"/>
      <c r="EC40" s="253"/>
      <c r="ED40" s="253"/>
      <c r="EE40" s="253"/>
      <c r="EF40" s="253"/>
      <c r="EG40" s="253"/>
      <c r="EH40" s="253"/>
      <c r="EI40" s="253"/>
      <c r="EJ40" s="253"/>
      <c r="EK40" s="253"/>
      <c r="EL40" s="253"/>
      <c r="EM40" s="253"/>
      <c r="EN40" s="253"/>
      <c r="EO40" s="253"/>
      <c r="EP40" s="253"/>
      <c r="EQ40" s="253"/>
      <c r="ER40" s="253"/>
      <c r="ES40" s="253"/>
      <c r="ET40" s="253"/>
      <c r="EU40" s="253"/>
      <c r="EV40" s="253"/>
      <c r="EW40" s="253"/>
      <c r="EX40" s="253"/>
      <c r="EY40" s="253"/>
      <c r="EZ40" s="253"/>
      <c r="FA40" s="253"/>
      <c r="FB40" s="253"/>
      <c r="FC40" s="253"/>
      <c r="FD40" s="253"/>
      <c r="FE40" s="253"/>
      <c r="FF40" s="253"/>
      <c r="FG40" s="253"/>
      <c r="FH40" s="253"/>
      <c r="FI40" s="253"/>
      <c r="FJ40" s="253"/>
      <c r="FK40" s="253"/>
      <c r="FL40" s="253"/>
      <c r="FM40" s="253"/>
      <c r="FN40" s="253"/>
      <c r="FO40" s="253"/>
      <c r="FP40" s="253"/>
      <c r="FQ40" s="253"/>
      <c r="FR40" s="253"/>
      <c r="FS40" s="253"/>
      <c r="FT40" s="253"/>
      <c r="FU40" s="253"/>
      <c r="FV40" s="253"/>
      <c r="FW40" s="253"/>
      <c r="FX40" s="253"/>
      <c r="FY40" s="253"/>
      <c r="FZ40" s="253"/>
      <c r="GA40" s="253"/>
      <c r="GB40" s="253"/>
      <c r="GC40" s="253"/>
      <c r="GD40" s="253"/>
      <c r="GE40" s="253"/>
      <c r="GF40" s="253"/>
      <c r="GG40" s="253"/>
      <c r="GH40" s="253"/>
      <c r="GI40" s="253"/>
      <c r="GJ40" s="253"/>
      <c r="GK40" s="253"/>
      <c r="GL40" s="253"/>
      <c r="GM40" s="253"/>
      <c r="GN40" s="253"/>
      <c r="GO40" s="253"/>
      <c r="GP40" s="253"/>
      <c r="GQ40" s="253"/>
      <c r="GR40" s="253"/>
      <c r="GS40" s="253"/>
      <c r="GT40" s="253"/>
      <c r="GU40" s="253"/>
      <c r="GV40" s="253"/>
      <c r="GW40" s="253"/>
      <c r="GX40" s="253"/>
      <c r="GY40" s="253"/>
      <c r="GZ40" s="253"/>
      <c r="HA40" s="253"/>
      <c r="HB40" s="253"/>
      <c r="HC40" s="253"/>
      <c r="HD40" s="253"/>
      <c r="HE40" s="253"/>
      <c r="HF40" s="253"/>
      <c r="HG40" s="253"/>
      <c r="HH40" s="253"/>
      <c r="HI40" s="253"/>
      <c r="HJ40" s="253"/>
      <c r="HK40" s="253"/>
      <c r="HL40" s="253"/>
      <c r="HM40" s="253"/>
      <c r="HN40" s="253"/>
      <c r="HO40" s="253"/>
      <c r="HP40" s="253"/>
      <c r="HQ40" s="253"/>
      <c r="HR40" s="253"/>
      <c r="HS40" s="253"/>
      <c r="HT40" s="253"/>
      <c r="HU40" s="253"/>
      <c r="HV40" s="253"/>
      <c r="HW40" s="253"/>
      <c r="HX40" s="253"/>
      <c r="HY40" s="253"/>
      <c r="HZ40" s="253"/>
      <c r="IA40" s="253"/>
      <c r="IB40" s="253"/>
      <c r="IC40" s="253"/>
      <c r="ID40" s="253"/>
      <c r="IE40" s="253"/>
      <c r="IF40" s="253"/>
      <c r="IG40" s="253"/>
      <c r="IH40" s="253"/>
      <c r="II40" s="253"/>
      <c r="IJ40" s="253"/>
      <c r="IK40" s="253"/>
      <c r="IL40" s="253"/>
      <c r="IM40" s="253"/>
      <c r="IN40" s="253"/>
      <c r="IO40" s="253"/>
      <c r="IP40" s="253"/>
      <c r="IQ40" s="253"/>
      <c r="IR40" s="253"/>
      <c r="IS40" s="253"/>
      <c r="IT40" s="253"/>
      <c r="IU40" s="253"/>
    </row>
    <row r="41" spans="1:255" s="274" customFormat="1" x14ac:dyDescent="0.2">
      <c r="A41" s="311" t="s">
        <v>485</v>
      </c>
      <c r="B41" s="312" t="s">
        <v>476</v>
      </c>
      <c r="C41" s="313" t="s">
        <v>477</v>
      </c>
      <c r="D41" s="314" t="s">
        <v>430</v>
      </c>
      <c r="E41" s="315">
        <v>1.02</v>
      </c>
      <c r="F41" s="272"/>
      <c r="G41" s="273"/>
    </row>
    <row r="42" spans="1:255" s="274" customFormat="1" x14ac:dyDescent="0.2">
      <c r="A42" s="246"/>
      <c r="B42" s="247"/>
      <c r="C42" s="308" t="s">
        <v>486</v>
      </c>
      <c r="D42" s="249"/>
      <c r="E42" s="250"/>
      <c r="F42" s="272"/>
      <c r="G42" s="324"/>
    </row>
    <row r="43" spans="1:255" s="274" customFormat="1" x14ac:dyDescent="0.2">
      <c r="A43" s="275"/>
      <c r="B43" s="276"/>
      <c r="C43" s="277"/>
      <c r="D43" s="278"/>
      <c r="E43" s="279"/>
      <c r="F43" s="280"/>
      <c r="G43" s="281"/>
    </row>
    <row r="44" spans="1:255" s="274" customFormat="1" ht="18" customHeight="1" x14ac:dyDescent="0.2">
      <c r="A44" s="400" t="s">
        <v>487</v>
      </c>
      <c r="B44" s="400"/>
      <c r="C44" s="400"/>
      <c r="D44" s="400"/>
      <c r="E44" s="400"/>
      <c r="F44" s="400"/>
      <c r="G44" s="401"/>
    </row>
    <row r="45" spans="1:255" s="274" customFormat="1" ht="18" customHeight="1" x14ac:dyDescent="0.2">
      <c r="A45" s="397" t="s">
        <v>434</v>
      </c>
      <c r="B45" s="397"/>
      <c r="C45" s="398" t="s">
        <v>488</v>
      </c>
      <c r="D45" s="398"/>
      <c r="E45" s="398"/>
      <c r="F45" s="398"/>
      <c r="G45" s="398"/>
    </row>
    <row r="46" spans="1:255" s="254" customFormat="1" ht="36" x14ac:dyDescent="0.2">
      <c r="A46" s="101">
        <v>38</v>
      </c>
      <c r="B46" s="109" t="s">
        <v>442</v>
      </c>
      <c r="C46" s="102" t="s">
        <v>489</v>
      </c>
      <c r="D46" s="103" t="s">
        <v>443</v>
      </c>
      <c r="E46" s="104">
        <v>0.26740000000000003</v>
      </c>
      <c r="F46" s="251"/>
      <c r="G46" s="252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53"/>
      <c r="AT46" s="253"/>
      <c r="AU46" s="253"/>
      <c r="AV46" s="253"/>
      <c r="AW46" s="253"/>
      <c r="AX46" s="253"/>
      <c r="AY46" s="253"/>
      <c r="AZ46" s="253"/>
      <c r="BA46" s="253"/>
      <c r="BB46" s="253"/>
      <c r="BC46" s="253"/>
      <c r="BD46" s="253"/>
      <c r="BE46" s="253"/>
      <c r="BF46" s="253"/>
      <c r="BG46" s="253"/>
      <c r="BH46" s="253"/>
      <c r="BI46" s="253"/>
      <c r="BJ46" s="253"/>
      <c r="BK46" s="253"/>
      <c r="BL46" s="253"/>
      <c r="BM46" s="253"/>
      <c r="BN46" s="253"/>
      <c r="BO46" s="253"/>
      <c r="BP46" s="253"/>
      <c r="BQ46" s="253"/>
      <c r="BR46" s="253"/>
      <c r="BS46" s="253"/>
      <c r="BT46" s="253"/>
      <c r="BU46" s="253"/>
      <c r="BV46" s="253"/>
      <c r="BW46" s="253"/>
      <c r="BX46" s="253"/>
      <c r="BY46" s="253"/>
      <c r="BZ46" s="253"/>
      <c r="CA46" s="253"/>
      <c r="CB46" s="253"/>
      <c r="CC46" s="253"/>
      <c r="CD46" s="253"/>
      <c r="CE46" s="253"/>
      <c r="CF46" s="253"/>
      <c r="CG46" s="253"/>
      <c r="CH46" s="253"/>
      <c r="CI46" s="253"/>
      <c r="CJ46" s="253"/>
      <c r="CK46" s="253"/>
      <c r="CL46" s="253"/>
      <c r="CM46" s="253"/>
      <c r="CN46" s="253"/>
      <c r="CO46" s="253"/>
      <c r="CP46" s="253"/>
      <c r="CQ46" s="253"/>
      <c r="CR46" s="253"/>
      <c r="CS46" s="253"/>
      <c r="CT46" s="253"/>
      <c r="CU46" s="253"/>
      <c r="CV46" s="253"/>
      <c r="CW46" s="253"/>
      <c r="CX46" s="253"/>
      <c r="CY46" s="253"/>
      <c r="CZ46" s="253"/>
      <c r="DA46" s="253"/>
      <c r="DB46" s="253"/>
      <c r="DC46" s="253"/>
      <c r="DD46" s="253"/>
      <c r="DE46" s="253"/>
      <c r="DF46" s="253"/>
      <c r="DG46" s="253"/>
      <c r="DH46" s="253"/>
      <c r="DI46" s="253"/>
      <c r="DJ46" s="253"/>
      <c r="DK46" s="253"/>
      <c r="DL46" s="253"/>
      <c r="DM46" s="253"/>
      <c r="DN46" s="253"/>
      <c r="DO46" s="253"/>
      <c r="DP46" s="253"/>
      <c r="DQ46" s="253"/>
      <c r="DR46" s="253"/>
      <c r="DS46" s="253"/>
      <c r="DT46" s="253"/>
      <c r="DU46" s="253"/>
      <c r="DV46" s="253"/>
      <c r="DW46" s="253"/>
      <c r="DX46" s="253"/>
      <c r="DY46" s="253"/>
      <c r="DZ46" s="253"/>
      <c r="EA46" s="253"/>
      <c r="EB46" s="253"/>
      <c r="EC46" s="253"/>
      <c r="ED46" s="253"/>
      <c r="EE46" s="253"/>
      <c r="EF46" s="253"/>
      <c r="EG46" s="253"/>
      <c r="EH46" s="253"/>
      <c r="EI46" s="253"/>
      <c r="EJ46" s="253"/>
      <c r="EK46" s="253"/>
      <c r="EL46" s="253"/>
      <c r="EM46" s="253"/>
      <c r="EN46" s="253"/>
      <c r="EO46" s="253"/>
      <c r="EP46" s="253"/>
      <c r="EQ46" s="253"/>
      <c r="ER46" s="253"/>
      <c r="ES46" s="253"/>
      <c r="ET46" s="253"/>
      <c r="EU46" s="253"/>
      <c r="EV46" s="253"/>
      <c r="EW46" s="253"/>
      <c r="EX46" s="253"/>
      <c r="EY46" s="253"/>
      <c r="EZ46" s="253"/>
      <c r="FA46" s="253"/>
      <c r="FB46" s="253"/>
      <c r="FC46" s="253"/>
      <c r="FD46" s="253"/>
      <c r="FE46" s="253"/>
      <c r="FF46" s="253"/>
      <c r="FG46" s="253"/>
      <c r="FH46" s="253"/>
      <c r="FI46" s="253"/>
      <c r="FJ46" s="253"/>
      <c r="FK46" s="253"/>
      <c r="FL46" s="253"/>
      <c r="FM46" s="253"/>
      <c r="FN46" s="253"/>
      <c r="FO46" s="253"/>
      <c r="FP46" s="253"/>
      <c r="FQ46" s="253"/>
      <c r="FR46" s="253"/>
      <c r="FS46" s="253"/>
      <c r="FT46" s="253"/>
      <c r="FU46" s="253"/>
      <c r="FV46" s="253"/>
      <c r="FW46" s="253"/>
      <c r="FX46" s="253"/>
      <c r="FY46" s="253"/>
      <c r="FZ46" s="253"/>
      <c r="GA46" s="253"/>
      <c r="GB46" s="253"/>
      <c r="GC46" s="253"/>
      <c r="GD46" s="253"/>
      <c r="GE46" s="253"/>
      <c r="GF46" s="253"/>
      <c r="GG46" s="253"/>
      <c r="GH46" s="253"/>
      <c r="GI46" s="253"/>
      <c r="GJ46" s="253"/>
      <c r="GK46" s="253"/>
      <c r="GL46" s="253"/>
      <c r="GM46" s="253"/>
      <c r="GN46" s="253"/>
      <c r="GO46" s="253"/>
      <c r="GP46" s="253"/>
      <c r="GQ46" s="253"/>
      <c r="GR46" s="253"/>
      <c r="GS46" s="253"/>
      <c r="GT46" s="253"/>
      <c r="GU46" s="253"/>
      <c r="GV46" s="253"/>
      <c r="GW46" s="253"/>
      <c r="GX46" s="253"/>
      <c r="GY46" s="253"/>
      <c r="GZ46" s="253"/>
      <c r="HA46" s="253"/>
      <c r="HB46" s="253"/>
      <c r="HC46" s="253"/>
      <c r="HD46" s="253"/>
      <c r="HE46" s="253"/>
      <c r="HF46" s="253"/>
      <c r="HG46" s="253"/>
      <c r="HH46" s="253"/>
      <c r="HI46" s="253"/>
      <c r="HJ46" s="253"/>
      <c r="HK46" s="253"/>
      <c r="HL46" s="253"/>
      <c r="HM46" s="253"/>
      <c r="HN46" s="253"/>
      <c r="HO46" s="253"/>
      <c r="HP46" s="253"/>
      <c r="HQ46" s="253"/>
      <c r="HR46" s="253"/>
      <c r="HS46" s="253"/>
      <c r="HT46" s="253"/>
      <c r="HU46" s="253"/>
      <c r="HV46" s="253"/>
      <c r="HW46" s="253"/>
      <c r="HX46" s="253"/>
      <c r="HY46" s="253"/>
      <c r="HZ46" s="253"/>
      <c r="IA46" s="253"/>
      <c r="IB46" s="253"/>
      <c r="IC46" s="253"/>
      <c r="ID46" s="253"/>
      <c r="IE46" s="253"/>
      <c r="IF46" s="253"/>
      <c r="IG46" s="253"/>
      <c r="IH46" s="253"/>
      <c r="II46" s="253"/>
      <c r="IJ46" s="253"/>
      <c r="IK46" s="253"/>
      <c r="IL46" s="253"/>
      <c r="IM46" s="253"/>
      <c r="IN46" s="253"/>
      <c r="IO46" s="253"/>
      <c r="IP46" s="253"/>
      <c r="IQ46" s="253"/>
      <c r="IR46" s="253"/>
      <c r="IS46" s="253"/>
      <c r="IT46" s="253"/>
      <c r="IU46" s="253"/>
    </row>
    <row r="47" spans="1:255" s="254" customFormat="1" ht="24" x14ac:dyDescent="0.2">
      <c r="A47" s="255" t="s">
        <v>490</v>
      </c>
      <c r="B47" s="256" t="s">
        <v>452</v>
      </c>
      <c r="C47" s="257" t="s">
        <v>451</v>
      </c>
      <c r="D47" s="258" t="s">
        <v>430</v>
      </c>
      <c r="E47" s="259">
        <v>53.48</v>
      </c>
      <c r="F47" s="260"/>
      <c r="G47" s="261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>
        <v>293353</v>
      </c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3"/>
      <c r="AO47" s="253"/>
      <c r="AP47" s="253"/>
      <c r="AQ47" s="253"/>
      <c r="AR47" s="253"/>
      <c r="AS47" s="253"/>
      <c r="AT47" s="253"/>
      <c r="AU47" s="253"/>
      <c r="AV47" s="253"/>
      <c r="AW47" s="253"/>
      <c r="AX47" s="253"/>
      <c r="AY47" s="253"/>
      <c r="AZ47" s="253"/>
      <c r="BA47" s="253"/>
      <c r="BB47" s="253"/>
      <c r="BC47" s="253"/>
      <c r="BD47" s="253"/>
      <c r="BE47" s="253"/>
      <c r="BF47" s="253"/>
      <c r="BG47" s="253"/>
      <c r="BH47" s="253"/>
      <c r="BI47" s="253"/>
      <c r="BJ47" s="253"/>
      <c r="BK47" s="253"/>
      <c r="BL47" s="253"/>
      <c r="BM47" s="253"/>
      <c r="BN47" s="253"/>
      <c r="BO47" s="253"/>
      <c r="BP47" s="253"/>
      <c r="BQ47" s="253"/>
      <c r="BR47" s="253"/>
      <c r="BS47" s="253"/>
      <c r="BT47" s="253"/>
      <c r="BU47" s="253"/>
      <c r="BV47" s="253"/>
      <c r="BW47" s="253"/>
      <c r="BX47" s="253"/>
      <c r="BY47" s="253"/>
      <c r="BZ47" s="253"/>
      <c r="CA47" s="253"/>
      <c r="CB47" s="253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3"/>
      <c r="CN47" s="253"/>
      <c r="CO47" s="253"/>
      <c r="CP47" s="253"/>
      <c r="CQ47" s="253"/>
      <c r="CR47" s="253"/>
      <c r="CS47" s="253"/>
      <c r="CT47" s="253"/>
      <c r="CU47" s="253"/>
      <c r="CV47" s="253"/>
      <c r="CW47" s="253"/>
      <c r="CX47" s="253"/>
      <c r="CY47" s="253"/>
      <c r="CZ47" s="253"/>
      <c r="DA47" s="253"/>
      <c r="DB47" s="253"/>
      <c r="DC47" s="253"/>
      <c r="DD47" s="253"/>
      <c r="DE47" s="253"/>
      <c r="DF47" s="253"/>
      <c r="DG47" s="253"/>
      <c r="DH47" s="253"/>
      <c r="DI47" s="253">
        <v>644731.87</v>
      </c>
      <c r="DJ47" s="253"/>
      <c r="DK47" s="253"/>
      <c r="DL47" s="262">
        <v>644731.87</v>
      </c>
      <c r="DM47" s="253">
        <v>293353</v>
      </c>
      <c r="DN47" s="253"/>
      <c r="DO47" s="253"/>
      <c r="DP47" s="253"/>
      <c r="DQ47" s="253"/>
      <c r="DR47" s="253"/>
      <c r="DS47" s="253"/>
      <c r="DT47" s="253"/>
      <c r="DU47" s="253"/>
      <c r="DV47" s="253"/>
      <c r="DW47" s="253"/>
      <c r="DX47" s="253"/>
      <c r="DY47" s="253"/>
      <c r="DZ47" s="253"/>
      <c r="EA47" s="253"/>
      <c r="EB47" s="253"/>
      <c r="EC47" s="253"/>
      <c r="ED47" s="253"/>
      <c r="EE47" s="253"/>
      <c r="EF47" s="253"/>
      <c r="EG47" s="253"/>
      <c r="EH47" s="253"/>
      <c r="EI47" s="253"/>
      <c r="EJ47" s="253"/>
      <c r="EK47" s="253"/>
      <c r="EL47" s="253"/>
      <c r="EM47" s="253"/>
      <c r="EN47" s="253"/>
      <c r="EO47" s="253"/>
      <c r="EP47" s="253"/>
      <c r="EQ47" s="253"/>
      <c r="ER47" s="253"/>
      <c r="ES47" s="253"/>
      <c r="ET47" s="253"/>
      <c r="EU47" s="253"/>
      <c r="EV47" s="253"/>
      <c r="EW47" s="253"/>
      <c r="EX47" s="253"/>
      <c r="EY47" s="253"/>
      <c r="EZ47" s="253"/>
      <c r="FA47" s="253"/>
      <c r="FB47" s="253"/>
      <c r="FC47" s="253"/>
      <c r="FD47" s="253"/>
      <c r="FE47" s="253"/>
      <c r="FF47" s="253"/>
      <c r="FG47" s="253"/>
      <c r="FH47" s="253"/>
      <c r="FI47" s="253"/>
      <c r="FJ47" s="253"/>
      <c r="FK47" s="253"/>
      <c r="FL47" s="253"/>
      <c r="FM47" s="253"/>
      <c r="FN47" s="253"/>
      <c r="FO47" s="253"/>
      <c r="FP47" s="253"/>
      <c r="FQ47" s="253"/>
      <c r="FR47" s="253"/>
      <c r="FS47" s="253"/>
      <c r="FT47" s="253"/>
      <c r="FU47" s="253"/>
      <c r="FV47" s="253"/>
      <c r="FW47" s="253"/>
      <c r="FX47" s="253"/>
      <c r="FY47" s="253"/>
      <c r="FZ47" s="253"/>
      <c r="GA47" s="253"/>
      <c r="GB47" s="253"/>
      <c r="GC47" s="253"/>
      <c r="GD47" s="253"/>
      <c r="GE47" s="253"/>
      <c r="GF47" s="253"/>
      <c r="GG47" s="253"/>
      <c r="GH47" s="253"/>
      <c r="GI47" s="253"/>
      <c r="GJ47" s="253"/>
      <c r="GK47" s="253"/>
      <c r="GL47" s="253"/>
      <c r="GM47" s="253"/>
      <c r="GN47" s="253"/>
      <c r="GO47" s="253"/>
      <c r="GP47" s="253"/>
      <c r="GQ47" s="253"/>
      <c r="GR47" s="253"/>
      <c r="GS47" s="253"/>
      <c r="GT47" s="253"/>
      <c r="GU47" s="253"/>
      <c r="GV47" s="253"/>
      <c r="GW47" s="253"/>
      <c r="GX47" s="253"/>
      <c r="GY47" s="253"/>
      <c r="GZ47" s="253"/>
      <c r="HA47" s="253"/>
      <c r="HB47" s="253"/>
      <c r="HC47" s="253"/>
      <c r="HD47" s="253"/>
      <c r="HE47" s="253"/>
      <c r="HF47" s="253"/>
      <c r="HG47" s="253"/>
      <c r="HH47" s="253"/>
      <c r="HI47" s="253"/>
      <c r="HJ47" s="253"/>
      <c r="HK47" s="253"/>
      <c r="HL47" s="253"/>
      <c r="HM47" s="253"/>
      <c r="HN47" s="253"/>
      <c r="HO47" s="253"/>
      <c r="HP47" s="253"/>
      <c r="HQ47" s="253"/>
      <c r="HR47" s="253"/>
      <c r="HS47" s="253"/>
      <c r="HT47" s="253"/>
      <c r="HU47" s="253"/>
      <c r="HV47" s="253"/>
      <c r="HW47" s="253"/>
      <c r="HX47" s="253"/>
      <c r="HY47" s="253"/>
      <c r="HZ47" s="253"/>
      <c r="IA47" s="253"/>
      <c r="IB47" s="253"/>
      <c r="IC47" s="253"/>
      <c r="ID47" s="253"/>
      <c r="IE47" s="253"/>
      <c r="IF47" s="253"/>
      <c r="IG47" s="253"/>
      <c r="IH47" s="253"/>
      <c r="II47" s="253"/>
      <c r="IJ47" s="253"/>
      <c r="IK47" s="253"/>
      <c r="IL47" s="253"/>
      <c r="IM47" s="253"/>
      <c r="IN47" s="253"/>
      <c r="IO47" s="253"/>
      <c r="IP47" s="253"/>
      <c r="IQ47" s="253"/>
      <c r="IR47" s="253"/>
      <c r="IS47" s="253"/>
      <c r="IT47" s="253"/>
      <c r="IU47" s="253"/>
    </row>
    <row r="48" spans="1:255" s="254" customFormat="1" ht="12.75" x14ac:dyDescent="0.2">
      <c r="A48" s="263">
        <v>39</v>
      </c>
      <c r="B48" s="264" t="s">
        <v>456</v>
      </c>
      <c r="C48" s="265" t="s">
        <v>491</v>
      </c>
      <c r="D48" s="266" t="s">
        <v>430</v>
      </c>
      <c r="E48" s="267">
        <v>157.68</v>
      </c>
      <c r="F48" s="268"/>
      <c r="G48" s="269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>
        <v>140633</v>
      </c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53"/>
      <c r="AT48" s="253"/>
      <c r="AU48" s="253"/>
      <c r="AV48" s="253"/>
      <c r="AW48" s="253"/>
      <c r="AX48" s="253"/>
      <c r="AY48" s="253"/>
      <c r="AZ48" s="253"/>
      <c r="BA48" s="253"/>
      <c r="BB48" s="253"/>
      <c r="BC48" s="253"/>
      <c r="BD48" s="253"/>
      <c r="BE48" s="253"/>
      <c r="BF48" s="253"/>
      <c r="BG48" s="253"/>
      <c r="BH48" s="253"/>
      <c r="BI48" s="253"/>
      <c r="BJ48" s="253"/>
      <c r="BK48" s="253"/>
      <c r="BL48" s="253"/>
      <c r="BM48" s="253"/>
      <c r="BN48" s="253"/>
      <c r="BO48" s="253"/>
      <c r="BP48" s="253"/>
      <c r="BQ48" s="253"/>
      <c r="BR48" s="253"/>
      <c r="BS48" s="253"/>
      <c r="BT48" s="253"/>
      <c r="BU48" s="253"/>
      <c r="BV48" s="253"/>
      <c r="BW48" s="253"/>
      <c r="BX48" s="253"/>
      <c r="BY48" s="253"/>
      <c r="BZ48" s="253"/>
      <c r="CA48" s="253"/>
      <c r="CB48" s="253"/>
      <c r="CC48" s="253"/>
      <c r="CD48" s="253"/>
      <c r="CE48" s="253"/>
      <c r="CF48" s="253"/>
      <c r="CG48" s="253"/>
      <c r="CH48" s="253"/>
      <c r="CI48" s="253"/>
      <c r="CJ48" s="253"/>
      <c r="CK48" s="253"/>
      <c r="CL48" s="253"/>
      <c r="CM48" s="253"/>
      <c r="CN48" s="253"/>
      <c r="CO48" s="253"/>
      <c r="CP48" s="253"/>
      <c r="CQ48" s="253"/>
      <c r="CR48" s="253"/>
      <c r="CS48" s="253"/>
      <c r="CT48" s="253"/>
      <c r="CU48" s="253"/>
      <c r="CV48" s="253"/>
      <c r="CW48" s="253"/>
      <c r="CX48" s="253"/>
      <c r="CY48" s="253"/>
      <c r="CZ48" s="253"/>
      <c r="DA48" s="253"/>
      <c r="DB48" s="253"/>
      <c r="DC48" s="253"/>
      <c r="DD48" s="253"/>
      <c r="DE48" s="253"/>
      <c r="DF48" s="253"/>
      <c r="DG48" s="253"/>
      <c r="DH48" s="253"/>
      <c r="DI48" s="253">
        <v>1545.42</v>
      </c>
      <c r="DJ48" s="253"/>
      <c r="DK48" s="253"/>
      <c r="DL48" s="253"/>
      <c r="DM48" s="253"/>
      <c r="DN48" s="253"/>
      <c r="DO48" s="253"/>
      <c r="DP48" s="253"/>
      <c r="DQ48" s="253"/>
      <c r="DR48" s="253"/>
      <c r="DS48" s="253"/>
      <c r="DT48" s="253"/>
      <c r="DU48" s="253"/>
      <c r="DV48" s="253"/>
      <c r="DW48" s="253"/>
      <c r="DX48" s="253"/>
      <c r="DY48" s="253"/>
      <c r="DZ48" s="253"/>
      <c r="EA48" s="253"/>
      <c r="EB48" s="253"/>
      <c r="EC48" s="253"/>
      <c r="ED48" s="253"/>
      <c r="EE48" s="253"/>
      <c r="EF48" s="253"/>
      <c r="EG48" s="253"/>
      <c r="EH48" s="253"/>
      <c r="EI48" s="253"/>
      <c r="EJ48" s="253"/>
      <c r="EK48" s="253"/>
      <c r="EL48" s="253"/>
      <c r="EM48" s="253"/>
      <c r="EN48" s="253"/>
      <c r="EO48" s="253"/>
      <c r="EP48" s="253"/>
      <c r="EQ48" s="253"/>
      <c r="ER48" s="253"/>
      <c r="ES48" s="253"/>
      <c r="ET48" s="253"/>
      <c r="EU48" s="253"/>
      <c r="EV48" s="253"/>
      <c r="EW48" s="253"/>
      <c r="EX48" s="253"/>
      <c r="EY48" s="253"/>
      <c r="EZ48" s="253"/>
      <c r="FA48" s="253"/>
      <c r="FB48" s="253"/>
      <c r="FC48" s="253"/>
      <c r="FD48" s="253"/>
      <c r="FE48" s="253"/>
      <c r="FF48" s="253"/>
      <c r="FG48" s="253"/>
      <c r="FH48" s="253"/>
      <c r="FI48" s="253"/>
      <c r="FJ48" s="253"/>
      <c r="FK48" s="253"/>
      <c r="FL48" s="253"/>
      <c r="FM48" s="253"/>
      <c r="FN48" s="253"/>
      <c r="FO48" s="253"/>
      <c r="FP48" s="253"/>
      <c r="FQ48" s="253"/>
      <c r="FR48" s="253"/>
      <c r="FS48" s="253"/>
      <c r="FT48" s="253"/>
      <c r="FU48" s="253"/>
      <c r="FV48" s="253"/>
      <c r="FW48" s="253"/>
      <c r="FX48" s="253"/>
      <c r="FY48" s="253"/>
      <c r="FZ48" s="253"/>
      <c r="GA48" s="253"/>
      <c r="GB48" s="253"/>
      <c r="GC48" s="253"/>
      <c r="GD48" s="253"/>
      <c r="GE48" s="253"/>
      <c r="GF48" s="253"/>
      <c r="GG48" s="253"/>
      <c r="GH48" s="253"/>
      <c r="GI48" s="253"/>
      <c r="GJ48" s="253"/>
      <c r="GK48" s="253"/>
      <c r="GL48" s="253"/>
      <c r="GM48" s="253"/>
      <c r="GN48" s="253"/>
      <c r="GO48" s="253"/>
      <c r="GP48" s="253"/>
      <c r="GQ48" s="253"/>
      <c r="GR48" s="253"/>
      <c r="GS48" s="253"/>
      <c r="GT48" s="253"/>
      <c r="GU48" s="253"/>
      <c r="GV48" s="253"/>
      <c r="GW48" s="253"/>
      <c r="GX48" s="253"/>
      <c r="GY48" s="253"/>
      <c r="GZ48" s="253"/>
      <c r="HA48" s="253"/>
      <c r="HB48" s="253"/>
      <c r="HC48" s="253"/>
      <c r="HD48" s="253"/>
      <c r="HE48" s="253"/>
      <c r="HF48" s="253"/>
      <c r="HG48" s="253"/>
      <c r="HH48" s="253"/>
      <c r="HI48" s="253"/>
      <c r="HJ48" s="253"/>
      <c r="HK48" s="253"/>
      <c r="HL48" s="253"/>
      <c r="HM48" s="253"/>
      <c r="HN48" s="253"/>
      <c r="HO48" s="253"/>
      <c r="HP48" s="253"/>
      <c r="HQ48" s="253"/>
      <c r="HR48" s="253"/>
      <c r="HS48" s="253"/>
      <c r="HT48" s="253"/>
      <c r="HU48" s="253"/>
      <c r="HV48" s="253"/>
      <c r="HW48" s="253"/>
      <c r="HX48" s="253"/>
      <c r="HY48" s="253"/>
      <c r="HZ48" s="253"/>
      <c r="IA48" s="253"/>
      <c r="IB48" s="253"/>
      <c r="IC48" s="253"/>
      <c r="ID48" s="253"/>
      <c r="IE48" s="253"/>
      <c r="IF48" s="253"/>
      <c r="IG48" s="253"/>
      <c r="IH48" s="253"/>
      <c r="II48" s="253"/>
      <c r="IJ48" s="253"/>
      <c r="IK48" s="253"/>
      <c r="IL48" s="253"/>
      <c r="IM48" s="253"/>
      <c r="IN48" s="253"/>
      <c r="IO48" s="253"/>
      <c r="IP48" s="253"/>
      <c r="IQ48" s="253"/>
      <c r="IR48" s="253"/>
      <c r="IS48" s="253"/>
      <c r="IT48" s="253"/>
      <c r="IU48" s="253"/>
    </row>
    <row r="49" spans="1:255" s="254" customFormat="1" ht="56.25" x14ac:dyDescent="0.2">
      <c r="A49" s="246">
        <v>40</v>
      </c>
      <c r="B49" s="247" t="s">
        <v>458</v>
      </c>
      <c r="C49" s="248" t="s">
        <v>472</v>
      </c>
      <c r="D49" s="249" t="s">
        <v>459</v>
      </c>
      <c r="E49" s="250">
        <v>0.3</v>
      </c>
      <c r="F49" s="251"/>
      <c r="G49" s="252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53"/>
      <c r="AT49" s="253"/>
      <c r="AU49" s="253"/>
      <c r="AV49" s="253"/>
      <c r="AW49" s="253"/>
      <c r="AX49" s="253"/>
      <c r="AY49" s="253"/>
      <c r="AZ49" s="253"/>
      <c r="BA49" s="253"/>
      <c r="BB49" s="253"/>
      <c r="BC49" s="253"/>
      <c r="BD49" s="253"/>
      <c r="BE49" s="253"/>
      <c r="BF49" s="253"/>
      <c r="BG49" s="253"/>
      <c r="BH49" s="253"/>
      <c r="BI49" s="253"/>
      <c r="BJ49" s="253"/>
      <c r="BK49" s="253"/>
      <c r="BL49" s="253"/>
      <c r="BM49" s="253"/>
      <c r="BN49" s="253"/>
      <c r="BO49" s="253"/>
      <c r="BP49" s="253"/>
      <c r="BQ49" s="253"/>
      <c r="BR49" s="253"/>
      <c r="BS49" s="253"/>
      <c r="BT49" s="253"/>
      <c r="BU49" s="253"/>
      <c r="BV49" s="253"/>
      <c r="BW49" s="253"/>
      <c r="BX49" s="253"/>
      <c r="BY49" s="253"/>
      <c r="BZ49" s="253"/>
      <c r="CA49" s="253"/>
      <c r="CB49" s="253"/>
      <c r="CC49" s="253"/>
      <c r="CD49" s="253"/>
      <c r="CE49" s="253"/>
      <c r="CF49" s="253"/>
      <c r="CG49" s="253"/>
      <c r="CH49" s="253"/>
      <c r="CI49" s="253"/>
      <c r="CJ49" s="253"/>
      <c r="CK49" s="253"/>
      <c r="CL49" s="253"/>
      <c r="CM49" s="253"/>
      <c r="CN49" s="253"/>
      <c r="CO49" s="253"/>
      <c r="CP49" s="253"/>
      <c r="CQ49" s="253"/>
      <c r="CR49" s="253"/>
      <c r="CS49" s="253"/>
      <c r="CT49" s="253"/>
      <c r="CU49" s="253"/>
      <c r="CV49" s="253"/>
      <c r="CW49" s="253"/>
      <c r="CX49" s="253"/>
      <c r="CY49" s="253"/>
      <c r="CZ49" s="253"/>
      <c r="DA49" s="253"/>
      <c r="DB49" s="253"/>
      <c r="DC49" s="253"/>
      <c r="DD49" s="253"/>
      <c r="DE49" s="253"/>
      <c r="DF49" s="253"/>
      <c r="DG49" s="253"/>
      <c r="DH49" s="253"/>
      <c r="DI49" s="253"/>
      <c r="DJ49" s="253"/>
      <c r="DK49" s="253"/>
      <c r="DL49" s="253"/>
      <c r="DM49" s="253"/>
      <c r="DN49" s="253"/>
      <c r="DO49" s="253"/>
      <c r="DP49" s="253"/>
      <c r="DQ49" s="253"/>
      <c r="DR49" s="253"/>
      <c r="DS49" s="253"/>
      <c r="DT49" s="253"/>
      <c r="DU49" s="253"/>
      <c r="DV49" s="253"/>
      <c r="DW49" s="253"/>
      <c r="DX49" s="253"/>
      <c r="DY49" s="253"/>
      <c r="DZ49" s="253"/>
      <c r="EA49" s="253"/>
      <c r="EB49" s="253"/>
      <c r="EC49" s="253"/>
      <c r="ED49" s="253"/>
      <c r="EE49" s="253"/>
      <c r="EF49" s="253"/>
      <c r="EG49" s="253"/>
      <c r="EH49" s="253"/>
      <c r="EI49" s="253"/>
      <c r="EJ49" s="253"/>
      <c r="EK49" s="253"/>
      <c r="EL49" s="253"/>
      <c r="EM49" s="253"/>
      <c r="EN49" s="253"/>
      <c r="EO49" s="253"/>
      <c r="EP49" s="253"/>
      <c r="EQ49" s="253"/>
      <c r="ER49" s="253"/>
      <c r="ES49" s="253"/>
      <c r="ET49" s="253"/>
      <c r="EU49" s="253"/>
      <c r="EV49" s="253"/>
      <c r="EW49" s="253"/>
      <c r="EX49" s="253"/>
      <c r="EY49" s="253"/>
      <c r="EZ49" s="253"/>
      <c r="FA49" s="253"/>
      <c r="FB49" s="253"/>
      <c r="FC49" s="253"/>
      <c r="FD49" s="253"/>
      <c r="FE49" s="253"/>
      <c r="FF49" s="253"/>
      <c r="FG49" s="253"/>
      <c r="FH49" s="253"/>
      <c r="FI49" s="253"/>
      <c r="FJ49" s="253"/>
      <c r="FK49" s="253"/>
      <c r="FL49" s="253"/>
      <c r="FM49" s="253"/>
      <c r="FN49" s="253"/>
      <c r="FO49" s="253"/>
      <c r="FP49" s="253"/>
      <c r="FQ49" s="253"/>
      <c r="FR49" s="253"/>
      <c r="FS49" s="253"/>
      <c r="FT49" s="253"/>
      <c r="FU49" s="253"/>
      <c r="FV49" s="253"/>
      <c r="FW49" s="253"/>
      <c r="FX49" s="253"/>
      <c r="FY49" s="253"/>
      <c r="FZ49" s="253"/>
      <c r="GA49" s="253"/>
      <c r="GB49" s="253"/>
      <c r="GC49" s="253"/>
      <c r="GD49" s="253"/>
      <c r="GE49" s="253"/>
      <c r="GF49" s="253"/>
      <c r="GG49" s="253"/>
      <c r="GH49" s="253"/>
      <c r="GI49" s="253"/>
      <c r="GJ49" s="253"/>
      <c r="GK49" s="253"/>
      <c r="GL49" s="253"/>
      <c r="GM49" s="253"/>
      <c r="GN49" s="253"/>
      <c r="GO49" s="253"/>
      <c r="GP49" s="253"/>
      <c r="GQ49" s="253"/>
      <c r="GR49" s="253"/>
      <c r="GS49" s="253"/>
      <c r="GT49" s="253"/>
      <c r="GU49" s="253"/>
      <c r="GV49" s="253"/>
      <c r="GW49" s="253"/>
      <c r="GX49" s="253"/>
      <c r="GY49" s="253"/>
      <c r="GZ49" s="253"/>
      <c r="HA49" s="253"/>
      <c r="HB49" s="253"/>
      <c r="HC49" s="253"/>
      <c r="HD49" s="253"/>
      <c r="HE49" s="253"/>
      <c r="HF49" s="253"/>
      <c r="HG49" s="253"/>
      <c r="HH49" s="253"/>
      <c r="HI49" s="253"/>
      <c r="HJ49" s="253"/>
      <c r="HK49" s="253"/>
      <c r="HL49" s="253"/>
      <c r="HM49" s="253"/>
      <c r="HN49" s="253"/>
      <c r="HO49" s="253"/>
      <c r="HP49" s="253"/>
      <c r="HQ49" s="253"/>
      <c r="HR49" s="253"/>
      <c r="HS49" s="253"/>
      <c r="HT49" s="253"/>
      <c r="HU49" s="253"/>
      <c r="HV49" s="253"/>
      <c r="HW49" s="253"/>
      <c r="HX49" s="253"/>
      <c r="HY49" s="253"/>
      <c r="HZ49" s="253"/>
      <c r="IA49" s="253"/>
      <c r="IB49" s="253"/>
      <c r="IC49" s="253"/>
      <c r="ID49" s="253"/>
      <c r="IE49" s="253"/>
      <c r="IF49" s="253"/>
      <c r="IG49" s="253"/>
      <c r="IH49" s="253"/>
      <c r="II49" s="253"/>
      <c r="IJ49" s="253"/>
      <c r="IK49" s="253"/>
      <c r="IL49" s="253"/>
      <c r="IM49" s="253"/>
      <c r="IN49" s="253"/>
      <c r="IO49" s="253"/>
      <c r="IP49" s="253"/>
      <c r="IQ49" s="253"/>
      <c r="IR49" s="253"/>
      <c r="IS49" s="253"/>
      <c r="IT49" s="253"/>
      <c r="IU49" s="253"/>
    </row>
    <row r="50" spans="1:255" s="254" customFormat="1" ht="24" x14ac:dyDescent="0.2">
      <c r="A50" s="263" t="s">
        <v>492</v>
      </c>
      <c r="B50" s="264" t="s">
        <v>460</v>
      </c>
      <c r="C50" s="265" t="s">
        <v>461</v>
      </c>
      <c r="D50" s="266" t="s">
        <v>194</v>
      </c>
      <c r="E50" s="267">
        <v>2.7000000000000001E-3</v>
      </c>
      <c r="F50" s="268"/>
      <c r="G50" s="269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>
        <v>67</v>
      </c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53"/>
      <c r="AT50" s="253"/>
      <c r="AU50" s="253"/>
      <c r="AV50" s="253"/>
      <c r="AW50" s="253"/>
      <c r="AX50" s="253"/>
      <c r="AY50" s="253"/>
      <c r="AZ50" s="253"/>
      <c r="BA50" s="253"/>
      <c r="BB50" s="253"/>
      <c r="BC50" s="253"/>
      <c r="BD50" s="253"/>
      <c r="BE50" s="253"/>
      <c r="BF50" s="253"/>
      <c r="BG50" s="253"/>
      <c r="BH50" s="253"/>
      <c r="BI50" s="253"/>
      <c r="BJ50" s="253"/>
      <c r="BK50" s="253"/>
      <c r="BL50" s="253"/>
      <c r="BM50" s="253"/>
      <c r="BN50" s="253"/>
      <c r="BO50" s="253"/>
      <c r="BP50" s="253"/>
      <c r="BQ50" s="253"/>
      <c r="BR50" s="253"/>
      <c r="BS50" s="253"/>
      <c r="BT50" s="253"/>
      <c r="BU50" s="253"/>
      <c r="BV50" s="253"/>
      <c r="BW50" s="253"/>
      <c r="BX50" s="253"/>
      <c r="BY50" s="253"/>
      <c r="BZ50" s="253"/>
      <c r="CA50" s="253"/>
      <c r="CB50" s="253"/>
      <c r="CC50" s="253"/>
      <c r="CD50" s="253"/>
      <c r="CE50" s="253"/>
      <c r="CF50" s="253"/>
      <c r="CG50" s="253"/>
      <c r="CH50" s="253"/>
      <c r="CI50" s="253"/>
      <c r="CJ50" s="253"/>
      <c r="CK50" s="253"/>
      <c r="CL50" s="253"/>
      <c r="CM50" s="253"/>
      <c r="CN50" s="253"/>
      <c r="CO50" s="253"/>
      <c r="CP50" s="253"/>
      <c r="CQ50" s="253"/>
      <c r="CR50" s="253"/>
      <c r="CS50" s="253"/>
      <c r="CT50" s="253"/>
      <c r="CU50" s="253"/>
      <c r="CV50" s="253"/>
      <c r="CW50" s="253"/>
      <c r="CX50" s="253"/>
      <c r="CY50" s="253"/>
      <c r="CZ50" s="253"/>
      <c r="DA50" s="253"/>
      <c r="DB50" s="253"/>
      <c r="DC50" s="253"/>
      <c r="DD50" s="253"/>
      <c r="DE50" s="253"/>
      <c r="DF50" s="253"/>
      <c r="DG50" s="253"/>
      <c r="DH50" s="253"/>
      <c r="DI50" s="253">
        <v>34.54</v>
      </c>
      <c r="DJ50" s="253"/>
      <c r="DK50" s="253"/>
      <c r="DL50" s="262">
        <v>34.54</v>
      </c>
      <c r="DM50" s="253">
        <v>67</v>
      </c>
      <c r="DN50" s="253"/>
      <c r="DO50" s="253"/>
      <c r="DP50" s="253"/>
      <c r="DQ50" s="253"/>
      <c r="DR50" s="253"/>
      <c r="DS50" s="253"/>
      <c r="DT50" s="253"/>
      <c r="DU50" s="253"/>
      <c r="DV50" s="253"/>
      <c r="DW50" s="253"/>
      <c r="DX50" s="253"/>
      <c r="DY50" s="253"/>
      <c r="DZ50" s="253"/>
      <c r="EA50" s="253"/>
      <c r="EB50" s="253"/>
      <c r="EC50" s="253"/>
      <c r="ED50" s="253"/>
      <c r="EE50" s="253"/>
      <c r="EF50" s="253"/>
      <c r="EG50" s="253"/>
      <c r="EH50" s="253"/>
      <c r="EI50" s="253"/>
      <c r="EJ50" s="253"/>
      <c r="EK50" s="253"/>
      <c r="EL50" s="253"/>
      <c r="EM50" s="253"/>
      <c r="EN50" s="253"/>
      <c r="EO50" s="253"/>
      <c r="EP50" s="253"/>
      <c r="EQ50" s="253"/>
      <c r="ER50" s="253"/>
      <c r="ES50" s="253"/>
      <c r="ET50" s="253"/>
      <c r="EU50" s="253"/>
      <c r="EV50" s="253"/>
      <c r="EW50" s="253"/>
      <c r="EX50" s="253"/>
      <c r="EY50" s="253"/>
      <c r="EZ50" s="253"/>
      <c r="FA50" s="253"/>
      <c r="FB50" s="253"/>
      <c r="FC50" s="253"/>
      <c r="FD50" s="253"/>
      <c r="FE50" s="253"/>
      <c r="FF50" s="253"/>
      <c r="FG50" s="253"/>
      <c r="FH50" s="253"/>
      <c r="FI50" s="253"/>
      <c r="FJ50" s="253"/>
      <c r="FK50" s="253"/>
      <c r="FL50" s="253"/>
      <c r="FM50" s="253"/>
      <c r="FN50" s="253"/>
      <c r="FO50" s="253"/>
      <c r="FP50" s="253"/>
      <c r="FQ50" s="253"/>
      <c r="FR50" s="253"/>
      <c r="FS50" s="253"/>
      <c r="FT50" s="253"/>
      <c r="FU50" s="253"/>
      <c r="FV50" s="253"/>
      <c r="FW50" s="253"/>
      <c r="FX50" s="253"/>
      <c r="FY50" s="253"/>
      <c r="FZ50" s="253"/>
      <c r="GA50" s="253"/>
      <c r="GB50" s="253"/>
      <c r="GC50" s="253"/>
      <c r="GD50" s="253"/>
      <c r="GE50" s="253"/>
      <c r="GF50" s="253"/>
      <c r="GG50" s="253"/>
      <c r="GH50" s="253"/>
      <c r="GI50" s="253"/>
      <c r="GJ50" s="253"/>
      <c r="GK50" s="253"/>
      <c r="GL50" s="253"/>
      <c r="GM50" s="253"/>
      <c r="GN50" s="253"/>
      <c r="GO50" s="253"/>
      <c r="GP50" s="253"/>
      <c r="GQ50" s="253"/>
      <c r="GR50" s="253"/>
      <c r="GS50" s="253"/>
      <c r="GT50" s="253"/>
      <c r="GU50" s="253"/>
      <c r="GV50" s="253"/>
      <c r="GW50" s="253"/>
      <c r="GX50" s="253"/>
      <c r="GY50" s="253"/>
      <c r="GZ50" s="253"/>
      <c r="HA50" s="253"/>
      <c r="HB50" s="253"/>
      <c r="HC50" s="253"/>
      <c r="HD50" s="253"/>
      <c r="HE50" s="253"/>
      <c r="HF50" s="253"/>
      <c r="HG50" s="253"/>
      <c r="HH50" s="253"/>
      <c r="HI50" s="253"/>
      <c r="HJ50" s="253"/>
      <c r="HK50" s="253"/>
      <c r="HL50" s="253"/>
      <c r="HM50" s="253"/>
      <c r="HN50" s="253"/>
      <c r="HO50" s="253"/>
      <c r="HP50" s="253"/>
      <c r="HQ50" s="253"/>
      <c r="HR50" s="253"/>
      <c r="HS50" s="253"/>
      <c r="HT50" s="253"/>
      <c r="HU50" s="253"/>
      <c r="HV50" s="253"/>
      <c r="HW50" s="253"/>
      <c r="HX50" s="253"/>
      <c r="HY50" s="253"/>
      <c r="HZ50" s="253"/>
      <c r="IA50" s="253"/>
      <c r="IB50" s="253"/>
      <c r="IC50" s="253"/>
      <c r="ID50" s="253"/>
      <c r="IE50" s="253"/>
      <c r="IF50" s="253"/>
      <c r="IG50" s="253"/>
      <c r="IH50" s="253"/>
      <c r="II50" s="253"/>
      <c r="IJ50" s="253"/>
      <c r="IK50" s="253"/>
      <c r="IL50" s="253"/>
      <c r="IM50" s="253"/>
      <c r="IN50" s="253"/>
      <c r="IO50" s="253"/>
      <c r="IP50" s="253"/>
      <c r="IQ50" s="253"/>
      <c r="IR50" s="253"/>
      <c r="IS50" s="253"/>
      <c r="IT50" s="253"/>
      <c r="IU50" s="253"/>
    </row>
    <row r="51" spans="1:255" s="254" customFormat="1" ht="24" x14ac:dyDescent="0.2">
      <c r="A51" s="263" t="s">
        <v>493</v>
      </c>
      <c r="B51" s="264" t="s">
        <v>462</v>
      </c>
      <c r="C51" s="265" t="s">
        <v>463</v>
      </c>
      <c r="D51" s="266" t="s">
        <v>464</v>
      </c>
      <c r="E51" s="267">
        <v>1.0500000000000001E-2</v>
      </c>
      <c r="F51" s="268"/>
      <c r="G51" s="269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>
        <v>561</v>
      </c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53"/>
      <c r="AT51" s="253"/>
      <c r="AU51" s="253"/>
      <c r="AV51" s="253"/>
      <c r="AW51" s="253"/>
      <c r="AX51" s="253"/>
      <c r="AY51" s="253"/>
      <c r="AZ51" s="253"/>
      <c r="BA51" s="253"/>
      <c r="BB51" s="253"/>
      <c r="BC51" s="253"/>
      <c r="BD51" s="253"/>
      <c r="BE51" s="253"/>
      <c r="BF51" s="253"/>
      <c r="BG51" s="253"/>
      <c r="BH51" s="253"/>
      <c r="BI51" s="253"/>
      <c r="BJ51" s="253"/>
      <c r="BK51" s="253"/>
      <c r="BL51" s="253"/>
      <c r="BM51" s="253"/>
      <c r="BN51" s="253"/>
      <c r="BO51" s="253"/>
      <c r="BP51" s="253"/>
      <c r="BQ51" s="253"/>
      <c r="BR51" s="253"/>
      <c r="BS51" s="253"/>
      <c r="BT51" s="253"/>
      <c r="BU51" s="253"/>
      <c r="BV51" s="253"/>
      <c r="BW51" s="253"/>
      <c r="BX51" s="253"/>
      <c r="BY51" s="253"/>
      <c r="BZ51" s="253"/>
      <c r="CA51" s="253"/>
      <c r="CB51" s="253"/>
      <c r="CC51" s="253"/>
      <c r="CD51" s="253"/>
      <c r="CE51" s="253"/>
      <c r="CF51" s="253"/>
      <c r="CG51" s="253"/>
      <c r="CH51" s="253"/>
      <c r="CI51" s="253"/>
      <c r="CJ51" s="253"/>
      <c r="CK51" s="253"/>
      <c r="CL51" s="253"/>
      <c r="CM51" s="253"/>
      <c r="CN51" s="253"/>
      <c r="CO51" s="253"/>
      <c r="CP51" s="253"/>
      <c r="CQ51" s="253"/>
      <c r="CR51" s="253"/>
      <c r="CS51" s="253"/>
      <c r="CT51" s="253"/>
      <c r="CU51" s="253"/>
      <c r="CV51" s="253"/>
      <c r="CW51" s="253"/>
      <c r="CX51" s="253"/>
      <c r="CY51" s="253"/>
      <c r="CZ51" s="253"/>
      <c r="DA51" s="253"/>
      <c r="DB51" s="253"/>
      <c r="DC51" s="253"/>
      <c r="DD51" s="253"/>
      <c r="DE51" s="253"/>
      <c r="DF51" s="253"/>
      <c r="DG51" s="253"/>
      <c r="DH51" s="253"/>
      <c r="DI51" s="253">
        <v>289.18</v>
      </c>
      <c r="DJ51" s="253"/>
      <c r="DK51" s="253"/>
      <c r="DL51" s="262">
        <v>289.18</v>
      </c>
      <c r="DM51" s="253">
        <v>561</v>
      </c>
      <c r="DN51" s="253"/>
      <c r="DO51" s="253"/>
      <c r="DP51" s="253"/>
      <c r="DQ51" s="253"/>
      <c r="DR51" s="253"/>
      <c r="DS51" s="253"/>
      <c r="DT51" s="253"/>
      <c r="DU51" s="253"/>
      <c r="DV51" s="253"/>
      <c r="DW51" s="253"/>
      <c r="DX51" s="253"/>
      <c r="DY51" s="253"/>
      <c r="DZ51" s="253"/>
      <c r="EA51" s="253"/>
      <c r="EB51" s="253"/>
      <c r="EC51" s="253"/>
      <c r="ED51" s="253"/>
      <c r="EE51" s="253"/>
      <c r="EF51" s="253"/>
      <c r="EG51" s="253"/>
      <c r="EH51" s="253"/>
      <c r="EI51" s="253"/>
      <c r="EJ51" s="253"/>
      <c r="EK51" s="253"/>
      <c r="EL51" s="253"/>
      <c r="EM51" s="253"/>
      <c r="EN51" s="253"/>
      <c r="EO51" s="253"/>
      <c r="EP51" s="253"/>
      <c r="EQ51" s="253"/>
      <c r="ER51" s="253"/>
      <c r="ES51" s="253"/>
      <c r="ET51" s="253"/>
      <c r="EU51" s="253"/>
      <c r="EV51" s="253"/>
      <c r="EW51" s="253"/>
      <c r="EX51" s="253"/>
      <c r="EY51" s="253"/>
      <c r="EZ51" s="253"/>
      <c r="FA51" s="253"/>
      <c r="FB51" s="253"/>
      <c r="FC51" s="253"/>
      <c r="FD51" s="253"/>
      <c r="FE51" s="253"/>
      <c r="FF51" s="253"/>
      <c r="FG51" s="253"/>
      <c r="FH51" s="253"/>
      <c r="FI51" s="253"/>
      <c r="FJ51" s="253"/>
      <c r="FK51" s="253"/>
      <c r="FL51" s="253"/>
      <c r="FM51" s="253"/>
      <c r="FN51" s="253"/>
      <c r="FO51" s="253"/>
      <c r="FP51" s="253"/>
      <c r="FQ51" s="253"/>
      <c r="FR51" s="253"/>
      <c r="FS51" s="253"/>
      <c r="FT51" s="253"/>
      <c r="FU51" s="253"/>
      <c r="FV51" s="253"/>
      <c r="FW51" s="253"/>
      <c r="FX51" s="253"/>
      <c r="FY51" s="253"/>
      <c r="FZ51" s="253"/>
      <c r="GA51" s="253"/>
      <c r="GB51" s="253"/>
      <c r="GC51" s="253"/>
      <c r="GD51" s="253"/>
      <c r="GE51" s="253"/>
      <c r="GF51" s="253"/>
      <c r="GG51" s="253"/>
      <c r="GH51" s="253"/>
      <c r="GI51" s="253"/>
      <c r="GJ51" s="253"/>
      <c r="GK51" s="253"/>
      <c r="GL51" s="253"/>
      <c r="GM51" s="253"/>
      <c r="GN51" s="253"/>
      <c r="GO51" s="253"/>
      <c r="GP51" s="253"/>
      <c r="GQ51" s="253"/>
      <c r="GR51" s="253"/>
      <c r="GS51" s="253"/>
      <c r="GT51" s="253"/>
      <c r="GU51" s="253"/>
      <c r="GV51" s="253"/>
      <c r="GW51" s="253"/>
      <c r="GX51" s="253"/>
      <c r="GY51" s="253"/>
      <c r="GZ51" s="253"/>
      <c r="HA51" s="253"/>
      <c r="HB51" s="253"/>
      <c r="HC51" s="253"/>
      <c r="HD51" s="253"/>
      <c r="HE51" s="253"/>
      <c r="HF51" s="253"/>
      <c r="HG51" s="253"/>
      <c r="HH51" s="253"/>
      <c r="HI51" s="253"/>
      <c r="HJ51" s="253"/>
      <c r="HK51" s="253"/>
      <c r="HL51" s="253"/>
      <c r="HM51" s="253"/>
      <c r="HN51" s="253"/>
      <c r="HO51" s="253"/>
      <c r="HP51" s="253"/>
      <c r="HQ51" s="253"/>
      <c r="HR51" s="253"/>
      <c r="HS51" s="253"/>
      <c r="HT51" s="253"/>
      <c r="HU51" s="253"/>
      <c r="HV51" s="253"/>
      <c r="HW51" s="253"/>
      <c r="HX51" s="253"/>
      <c r="HY51" s="253"/>
      <c r="HZ51" s="253"/>
      <c r="IA51" s="253"/>
      <c r="IB51" s="253"/>
      <c r="IC51" s="253"/>
      <c r="ID51" s="253"/>
      <c r="IE51" s="253"/>
      <c r="IF51" s="253"/>
      <c r="IG51" s="253"/>
      <c r="IH51" s="253"/>
      <c r="II51" s="253"/>
      <c r="IJ51" s="253"/>
      <c r="IK51" s="253"/>
      <c r="IL51" s="253"/>
      <c r="IM51" s="253"/>
      <c r="IN51" s="253"/>
      <c r="IO51" s="253"/>
      <c r="IP51" s="253"/>
      <c r="IQ51" s="253"/>
      <c r="IR51" s="253"/>
      <c r="IS51" s="253"/>
      <c r="IT51" s="253"/>
      <c r="IU51" s="253"/>
    </row>
    <row r="52" spans="1:255" s="254" customFormat="1" ht="12.75" x14ac:dyDescent="0.2">
      <c r="A52" s="255" t="s">
        <v>494</v>
      </c>
      <c r="B52" s="256" t="s">
        <v>476</v>
      </c>
      <c r="C52" s="257" t="s">
        <v>477</v>
      </c>
      <c r="D52" s="258" t="s">
        <v>430</v>
      </c>
      <c r="E52" s="259">
        <v>1.02</v>
      </c>
      <c r="F52" s="260"/>
      <c r="G52" s="261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>
        <v>6750</v>
      </c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53"/>
      <c r="AT52" s="253"/>
      <c r="AU52" s="253"/>
      <c r="AV52" s="253"/>
      <c r="AW52" s="253"/>
      <c r="AX52" s="253"/>
      <c r="AY52" s="253"/>
      <c r="AZ52" s="253"/>
      <c r="BA52" s="253"/>
      <c r="BB52" s="253"/>
      <c r="BC52" s="253"/>
      <c r="BD52" s="253"/>
      <c r="BE52" s="253"/>
      <c r="BF52" s="253"/>
      <c r="BG52" s="253"/>
      <c r="BH52" s="253"/>
      <c r="BI52" s="253"/>
      <c r="BJ52" s="253"/>
      <c r="BK52" s="253"/>
      <c r="BL52" s="253"/>
      <c r="BM52" s="253"/>
      <c r="BN52" s="253"/>
      <c r="BO52" s="253"/>
      <c r="BP52" s="253"/>
      <c r="BQ52" s="253"/>
      <c r="BR52" s="253"/>
      <c r="BS52" s="253"/>
      <c r="BT52" s="253"/>
      <c r="BU52" s="253"/>
      <c r="BV52" s="253"/>
      <c r="BW52" s="253"/>
      <c r="BX52" s="253"/>
      <c r="BY52" s="253"/>
      <c r="BZ52" s="253"/>
      <c r="CA52" s="253"/>
      <c r="CB52" s="253"/>
      <c r="CC52" s="253"/>
      <c r="CD52" s="253"/>
      <c r="CE52" s="253"/>
      <c r="CF52" s="253"/>
      <c r="CG52" s="253"/>
      <c r="CH52" s="253"/>
      <c r="CI52" s="253"/>
      <c r="CJ52" s="253"/>
      <c r="CK52" s="253"/>
      <c r="CL52" s="253"/>
      <c r="CM52" s="253"/>
      <c r="CN52" s="253"/>
      <c r="CO52" s="253"/>
      <c r="CP52" s="253"/>
      <c r="CQ52" s="253"/>
      <c r="CR52" s="253"/>
      <c r="CS52" s="253"/>
      <c r="CT52" s="253"/>
      <c r="CU52" s="253"/>
      <c r="CV52" s="253"/>
      <c r="CW52" s="253"/>
      <c r="CX52" s="253"/>
      <c r="CY52" s="253"/>
      <c r="CZ52" s="253"/>
      <c r="DA52" s="253"/>
      <c r="DB52" s="253"/>
      <c r="DC52" s="253"/>
      <c r="DD52" s="253"/>
      <c r="DE52" s="253"/>
      <c r="DF52" s="253"/>
      <c r="DG52" s="253"/>
      <c r="DH52" s="253"/>
      <c r="DI52" s="253">
        <v>3479.38</v>
      </c>
      <c r="DJ52" s="253"/>
      <c r="DK52" s="253"/>
      <c r="DL52" s="262">
        <v>3479.38</v>
      </c>
      <c r="DM52" s="253">
        <v>6750</v>
      </c>
      <c r="DN52" s="253"/>
      <c r="DO52" s="253"/>
      <c r="DP52" s="253"/>
      <c r="DQ52" s="253"/>
      <c r="DR52" s="253"/>
      <c r="DS52" s="253"/>
      <c r="DT52" s="253"/>
      <c r="DU52" s="253"/>
      <c r="DV52" s="253"/>
      <c r="DW52" s="253"/>
      <c r="DX52" s="253"/>
      <c r="DY52" s="253"/>
      <c r="DZ52" s="253"/>
      <c r="EA52" s="253"/>
      <c r="EB52" s="253"/>
      <c r="EC52" s="253"/>
      <c r="ED52" s="253"/>
      <c r="EE52" s="253"/>
      <c r="EF52" s="253"/>
      <c r="EG52" s="253"/>
      <c r="EH52" s="253"/>
      <c r="EI52" s="253"/>
      <c r="EJ52" s="253"/>
      <c r="EK52" s="253"/>
      <c r="EL52" s="253"/>
      <c r="EM52" s="253"/>
      <c r="EN52" s="253"/>
      <c r="EO52" s="253"/>
      <c r="EP52" s="253"/>
      <c r="EQ52" s="253"/>
      <c r="ER52" s="253"/>
      <c r="ES52" s="253"/>
      <c r="ET52" s="253"/>
      <c r="EU52" s="253"/>
      <c r="EV52" s="253"/>
      <c r="EW52" s="253"/>
      <c r="EX52" s="253"/>
      <c r="EY52" s="253"/>
      <c r="EZ52" s="253"/>
      <c r="FA52" s="253"/>
      <c r="FB52" s="253"/>
      <c r="FC52" s="253"/>
      <c r="FD52" s="253"/>
      <c r="FE52" s="253"/>
      <c r="FF52" s="253"/>
      <c r="FG52" s="253"/>
      <c r="FH52" s="253"/>
      <c r="FI52" s="253"/>
      <c r="FJ52" s="253"/>
      <c r="FK52" s="253"/>
      <c r="FL52" s="253"/>
      <c r="FM52" s="253"/>
      <c r="FN52" s="253"/>
      <c r="FO52" s="253"/>
      <c r="FP52" s="253"/>
      <c r="FQ52" s="253"/>
      <c r="FR52" s="253"/>
      <c r="FS52" s="253"/>
      <c r="FT52" s="253"/>
      <c r="FU52" s="253"/>
      <c r="FV52" s="253"/>
      <c r="FW52" s="253"/>
      <c r="FX52" s="253"/>
      <c r="FY52" s="253"/>
      <c r="FZ52" s="253"/>
      <c r="GA52" s="253"/>
      <c r="GB52" s="253"/>
      <c r="GC52" s="253"/>
      <c r="GD52" s="253"/>
      <c r="GE52" s="253"/>
      <c r="GF52" s="253"/>
      <c r="GG52" s="253"/>
      <c r="GH52" s="253"/>
      <c r="GI52" s="253"/>
      <c r="GJ52" s="253"/>
      <c r="GK52" s="253"/>
      <c r="GL52" s="253"/>
      <c r="GM52" s="253"/>
      <c r="GN52" s="253"/>
      <c r="GO52" s="253"/>
      <c r="GP52" s="253"/>
      <c r="GQ52" s="253"/>
      <c r="GR52" s="253"/>
      <c r="GS52" s="253"/>
      <c r="GT52" s="253"/>
      <c r="GU52" s="253"/>
      <c r="GV52" s="253"/>
      <c r="GW52" s="253"/>
      <c r="GX52" s="253"/>
      <c r="GY52" s="253"/>
      <c r="GZ52" s="253"/>
      <c r="HA52" s="253"/>
      <c r="HB52" s="253"/>
      <c r="HC52" s="253"/>
      <c r="HD52" s="253"/>
      <c r="HE52" s="253"/>
      <c r="HF52" s="253"/>
      <c r="HG52" s="253"/>
      <c r="HH52" s="253"/>
      <c r="HI52" s="253"/>
      <c r="HJ52" s="253"/>
      <c r="HK52" s="253"/>
      <c r="HL52" s="253"/>
      <c r="HM52" s="253"/>
      <c r="HN52" s="253"/>
      <c r="HO52" s="253"/>
      <c r="HP52" s="253"/>
      <c r="HQ52" s="253"/>
      <c r="HR52" s="253"/>
      <c r="HS52" s="253"/>
      <c r="HT52" s="253"/>
      <c r="HU52" s="253"/>
      <c r="HV52" s="253"/>
      <c r="HW52" s="253"/>
      <c r="HX52" s="253"/>
      <c r="HY52" s="253"/>
      <c r="HZ52" s="253"/>
      <c r="IA52" s="253"/>
      <c r="IB52" s="253"/>
      <c r="IC52" s="253"/>
      <c r="ID52" s="253"/>
      <c r="IE52" s="253"/>
      <c r="IF52" s="253"/>
      <c r="IG52" s="253"/>
      <c r="IH52" s="253"/>
      <c r="II52" s="253"/>
      <c r="IJ52" s="253"/>
      <c r="IK52" s="253"/>
      <c r="IL52" s="253"/>
      <c r="IM52" s="253"/>
      <c r="IN52" s="253"/>
      <c r="IO52" s="253"/>
      <c r="IP52" s="253"/>
      <c r="IQ52" s="253"/>
      <c r="IR52" s="253"/>
      <c r="IS52" s="253"/>
      <c r="IT52" s="253"/>
      <c r="IU52" s="253"/>
    </row>
    <row r="53" spans="1:255" s="274" customFormat="1" ht="18" customHeight="1" thickBot="1" x14ac:dyDescent="0.25">
      <c r="A53" s="397" t="s">
        <v>434</v>
      </c>
      <c r="B53" s="397"/>
      <c r="C53" s="398" t="s">
        <v>495</v>
      </c>
      <c r="D53" s="398"/>
      <c r="E53" s="398"/>
      <c r="F53" s="398"/>
      <c r="G53" s="398"/>
    </row>
    <row r="54" spans="1:255" s="254" customFormat="1" ht="36" x14ac:dyDescent="0.2">
      <c r="A54" s="282">
        <v>81</v>
      </c>
      <c r="B54" s="283" t="s">
        <v>442</v>
      </c>
      <c r="C54" s="284" t="s">
        <v>489</v>
      </c>
      <c r="D54" s="285" t="s">
        <v>443</v>
      </c>
      <c r="E54" s="286">
        <v>0.26600000000000001</v>
      </c>
      <c r="F54" s="287"/>
      <c r="G54" s="288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53"/>
      <c r="AT54" s="253"/>
      <c r="AU54" s="253"/>
      <c r="AV54" s="253"/>
      <c r="AW54" s="253"/>
      <c r="AX54" s="253"/>
      <c r="AY54" s="253"/>
      <c r="AZ54" s="253"/>
      <c r="BA54" s="253"/>
      <c r="BB54" s="253"/>
      <c r="BC54" s="253"/>
      <c r="BD54" s="253"/>
      <c r="BE54" s="253"/>
      <c r="BF54" s="253"/>
      <c r="BG54" s="253"/>
      <c r="BH54" s="253"/>
      <c r="BI54" s="253"/>
      <c r="BJ54" s="253"/>
      <c r="BK54" s="253"/>
      <c r="BL54" s="253"/>
      <c r="BM54" s="253"/>
      <c r="BN54" s="253"/>
      <c r="BO54" s="253"/>
      <c r="BP54" s="253"/>
      <c r="BQ54" s="253"/>
      <c r="BR54" s="253"/>
      <c r="BS54" s="253"/>
      <c r="BT54" s="253"/>
      <c r="BU54" s="253"/>
      <c r="BV54" s="253"/>
      <c r="BW54" s="253"/>
      <c r="BX54" s="253"/>
      <c r="BY54" s="253"/>
      <c r="BZ54" s="253"/>
      <c r="CA54" s="253"/>
      <c r="CB54" s="253"/>
      <c r="CC54" s="253"/>
      <c r="CD54" s="253"/>
      <c r="CE54" s="253"/>
      <c r="CF54" s="253"/>
      <c r="CG54" s="253"/>
      <c r="CH54" s="253"/>
      <c r="CI54" s="253"/>
      <c r="CJ54" s="253"/>
      <c r="CK54" s="253"/>
      <c r="CL54" s="253"/>
      <c r="CM54" s="253"/>
      <c r="CN54" s="253"/>
      <c r="CO54" s="253"/>
      <c r="CP54" s="253"/>
      <c r="CQ54" s="253"/>
      <c r="CR54" s="253"/>
      <c r="CS54" s="253"/>
      <c r="CT54" s="253"/>
      <c r="CU54" s="253"/>
      <c r="CV54" s="253"/>
      <c r="CW54" s="253"/>
      <c r="CX54" s="253"/>
      <c r="CY54" s="253"/>
      <c r="CZ54" s="253"/>
      <c r="DA54" s="253"/>
      <c r="DB54" s="253"/>
      <c r="DC54" s="253"/>
      <c r="DD54" s="253"/>
      <c r="DE54" s="253"/>
      <c r="DF54" s="253"/>
      <c r="DG54" s="253"/>
      <c r="DH54" s="253"/>
      <c r="DI54" s="253"/>
      <c r="DJ54" s="253"/>
      <c r="DK54" s="253"/>
      <c r="DL54" s="253"/>
      <c r="DM54" s="253"/>
      <c r="DN54" s="253"/>
      <c r="DO54" s="253"/>
      <c r="DP54" s="253"/>
      <c r="DQ54" s="253"/>
      <c r="DR54" s="253"/>
      <c r="DS54" s="253"/>
      <c r="DT54" s="253"/>
      <c r="DU54" s="253"/>
      <c r="DV54" s="253"/>
      <c r="DW54" s="253"/>
      <c r="DX54" s="253"/>
      <c r="DY54" s="253"/>
      <c r="DZ54" s="253"/>
      <c r="EA54" s="253"/>
      <c r="EB54" s="253"/>
      <c r="EC54" s="253"/>
      <c r="ED54" s="253"/>
      <c r="EE54" s="253"/>
      <c r="EF54" s="253"/>
      <c r="EG54" s="253"/>
      <c r="EH54" s="253"/>
      <c r="EI54" s="253"/>
      <c r="EJ54" s="253"/>
      <c r="EK54" s="253"/>
      <c r="EL54" s="253"/>
      <c r="EM54" s="253"/>
      <c r="EN54" s="253"/>
      <c r="EO54" s="253"/>
      <c r="EP54" s="253"/>
      <c r="EQ54" s="253"/>
      <c r="ER54" s="253"/>
      <c r="ES54" s="253"/>
      <c r="ET54" s="253"/>
      <c r="EU54" s="253"/>
      <c r="EV54" s="253"/>
      <c r="EW54" s="253"/>
      <c r="EX54" s="253"/>
      <c r="EY54" s="253"/>
      <c r="EZ54" s="253"/>
      <c r="FA54" s="253"/>
      <c r="FB54" s="253"/>
      <c r="FC54" s="253"/>
      <c r="FD54" s="253"/>
      <c r="FE54" s="253"/>
      <c r="FF54" s="253"/>
      <c r="FG54" s="253"/>
      <c r="FH54" s="253"/>
      <c r="FI54" s="253"/>
      <c r="FJ54" s="253"/>
      <c r="FK54" s="253"/>
      <c r="FL54" s="253"/>
      <c r="FM54" s="253"/>
      <c r="FN54" s="253"/>
      <c r="FO54" s="253"/>
      <c r="FP54" s="253"/>
      <c r="FQ54" s="253"/>
      <c r="FR54" s="253"/>
      <c r="FS54" s="253"/>
      <c r="FT54" s="253"/>
      <c r="FU54" s="253"/>
      <c r="FV54" s="253"/>
      <c r="FW54" s="253"/>
      <c r="FX54" s="253"/>
      <c r="FY54" s="253"/>
      <c r="FZ54" s="253"/>
      <c r="GA54" s="253"/>
      <c r="GB54" s="253"/>
      <c r="GC54" s="253"/>
      <c r="GD54" s="253"/>
      <c r="GE54" s="253"/>
      <c r="GF54" s="253"/>
      <c r="GG54" s="253"/>
      <c r="GH54" s="253"/>
      <c r="GI54" s="253"/>
      <c r="GJ54" s="253"/>
      <c r="GK54" s="253"/>
      <c r="GL54" s="253"/>
      <c r="GM54" s="253"/>
      <c r="GN54" s="253"/>
      <c r="GO54" s="253"/>
      <c r="GP54" s="253"/>
      <c r="GQ54" s="253"/>
      <c r="GR54" s="253"/>
      <c r="GS54" s="253"/>
      <c r="GT54" s="253"/>
      <c r="GU54" s="253"/>
      <c r="GV54" s="253"/>
      <c r="GW54" s="253"/>
      <c r="GX54" s="253"/>
      <c r="GY54" s="253"/>
      <c r="GZ54" s="253"/>
      <c r="HA54" s="253"/>
      <c r="HB54" s="253"/>
      <c r="HC54" s="253"/>
      <c r="HD54" s="253"/>
      <c r="HE54" s="253"/>
      <c r="HF54" s="253"/>
      <c r="HG54" s="253"/>
      <c r="HH54" s="253"/>
      <c r="HI54" s="253"/>
      <c r="HJ54" s="253"/>
      <c r="HK54" s="253"/>
      <c r="HL54" s="253"/>
      <c r="HM54" s="253"/>
      <c r="HN54" s="253"/>
      <c r="HO54" s="253"/>
      <c r="HP54" s="253"/>
      <c r="HQ54" s="253"/>
      <c r="HR54" s="253"/>
      <c r="HS54" s="253"/>
      <c r="HT54" s="253"/>
      <c r="HU54" s="253"/>
      <c r="HV54" s="253"/>
      <c r="HW54" s="253"/>
      <c r="HX54" s="253"/>
      <c r="HY54" s="253"/>
      <c r="HZ54" s="253"/>
      <c r="IA54" s="253"/>
      <c r="IB54" s="253"/>
      <c r="IC54" s="253"/>
      <c r="ID54" s="253"/>
      <c r="IE54" s="253"/>
      <c r="IF54" s="253"/>
      <c r="IG54" s="253"/>
      <c r="IH54" s="253"/>
      <c r="II54" s="253"/>
      <c r="IJ54" s="253"/>
      <c r="IK54" s="253"/>
      <c r="IL54" s="253"/>
      <c r="IM54" s="253"/>
      <c r="IN54" s="253"/>
      <c r="IO54" s="253"/>
      <c r="IP54" s="253"/>
      <c r="IQ54" s="253"/>
      <c r="IR54" s="253"/>
      <c r="IS54" s="253"/>
      <c r="IT54" s="253"/>
      <c r="IU54" s="253"/>
    </row>
    <row r="55" spans="1:255" s="254" customFormat="1" ht="24" x14ac:dyDescent="0.2">
      <c r="A55" s="263" t="s">
        <v>496</v>
      </c>
      <c r="B55" s="264" t="s">
        <v>452</v>
      </c>
      <c r="C55" s="265" t="s">
        <v>451</v>
      </c>
      <c r="D55" s="266" t="s">
        <v>430</v>
      </c>
      <c r="E55" s="267">
        <v>53.2</v>
      </c>
      <c r="F55" s="268"/>
      <c r="G55" s="269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>
        <v>174078</v>
      </c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  <c r="BC55" s="253"/>
      <c r="BD55" s="253"/>
      <c r="BE55" s="253"/>
      <c r="BF55" s="253"/>
      <c r="BG55" s="253"/>
      <c r="BH55" s="253"/>
      <c r="BI55" s="253"/>
      <c r="BJ55" s="253"/>
      <c r="BK55" s="253"/>
      <c r="BL55" s="253"/>
      <c r="BM55" s="253"/>
      <c r="BN55" s="253"/>
      <c r="BO55" s="253"/>
      <c r="BP55" s="253"/>
      <c r="BQ55" s="253"/>
      <c r="BR55" s="253"/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53"/>
      <c r="CF55" s="253"/>
      <c r="CG55" s="253"/>
      <c r="CH55" s="253"/>
      <c r="CI55" s="253"/>
      <c r="CJ55" s="253"/>
      <c r="CK55" s="253"/>
      <c r="CL55" s="253"/>
      <c r="CM55" s="253"/>
      <c r="CN55" s="253"/>
      <c r="CO55" s="253"/>
      <c r="CP55" s="253"/>
      <c r="CQ55" s="253"/>
      <c r="CR55" s="253"/>
      <c r="CS55" s="253"/>
      <c r="CT55" s="253"/>
      <c r="CU55" s="253"/>
      <c r="CV55" s="253"/>
      <c r="CW55" s="253"/>
      <c r="CX55" s="253"/>
      <c r="CY55" s="253"/>
      <c r="CZ55" s="253"/>
      <c r="DA55" s="253"/>
      <c r="DB55" s="253"/>
      <c r="DC55" s="253"/>
      <c r="DD55" s="253"/>
      <c r="DE55" s="253"/>
      <c r="DF55" s="253"/>
      <c r="DG55" s="253"/>
      <c r="DH55" s="253"/>
      <c r="DI55" s="253">
        <v>644733.32999999996</v>
      </c>
      <c r="DJ55" s="253"/>
      <c r="DK55" s="253"/>
      <c r="DL55" s="262">
        <v>644733.32999999996</v>
      </c>
      <c r="DM55" s="253">
        <v>174078</v>
      </c>
      <c r="DN55" s="253"/>
      <c r="DO55" s="253"/>
      <c r="DP55" s="253"/>
      <c r="DQ55" s="253"/>
      <c r="DR55" s="253"/>
      <c r="DS55" s="253"/>
      <c r="DT55" s="253"/>
      <c r="DU55" s="253"/>
      <c r="DV55" s="253"/>
      <c r="DW55" s="253"/>
      <c r="DX55" s="253"/>
      <c r="DY55" s="253"/>
      <c r="DZ55" s="253"/>
      <c r="EA55" s="253"/>
      <c r="EB55" s="253"/>
      <c r="EC55" s="253"/>
      <c r="ED55" s="253"/>
      <c r="EE55" s="253"/>
      <c r="EF55" s="253"/>
      <c r="EG55" s="253"/>
      <c r="EH55" s="253"/>
      <c r="EI55" s="253"/>
      <c r="EJ55" s="253"/>
      <c r="EK55" s="253"/>
      <c r="EL55" s="253"/>
      <c r="EM55" s="253"/>
      <c r="EN55" s="253"/>
      <c r="EO55" s="253"/>
      <c r="EP55" s="253"/>
      <c r="EQ55" s="253"/>
      <c r="ER55" s="253"/>
      <c r="ES55" s="253"/>
      <c r="ET55" s="253"/>
      <c r="EU55" s="253"/>
      <c r="EV55" s="253"/>
      <c r="EW55" s="253"/>
      <c r="EX55" s="253"/>
      <c r="EY55" s="253"/>
      <c r="EZ55" s="253"/>
      <c r="FA55" s="253"/>
      <c r="FB55" s="253"/>
      <c r="FC55" s="253"/>
      <c r="FD55" s="253"/>
      <c r="FE55" s="253"/>
      <c r="FF55" s="253"/>
      <c r="FG55" s="253"/>
      <c r="FH55" s="253"/>
      <c r="FI55" s="253"/>
      <c r="FJ55" s="253"/>
      <c r="FK55" s="253"/>
      <c r="FL55" s="253"/>
      <c r="FM55" s="253"/>
      <c r="FN55" s="253"/>
      <c r="FO55" s="253"/>
      <c r="FP55" s="253"/>
      <c r="FQ55" s="253"/>
      <c r="FR55" s="253"/>
      <c r="FS55" s="253"/>
      <c r="FT55" s="253"/>
      <c r="FU55" s="253"/>
      <c r="FV55" s="253"/>
      <c r="FW55" s="253"/>
      <c r="FX55" s="253"/>
      <c r="FY55" s="253"/>
      <c r="FZ55" s="253"/>
      <c r="GA55" s="253"/>
      <c r="GB55" s="253"/>
      <c r="GC55" s="253"/>
      <c r="GD55" s="253"/>
      <c r="GE55" s="253"/>
      <c r="GF55" s="253"/>
      <c r="GG55" s="253"/>
      <c r="GH55" s="253"/>
      <c r="GI55" s="253"/>
      <c r="GJ55" s="253"/>
      <c r="GK55" s="253"/>
      <c r="GL55" s="253"/>
      <c r="GM55" s="253"/>
      <c r="GN55" s="253"/>
      <c r="GO55" s="253"/>
      <c r="GP55" s="253"/>
      <c r="GQ55" s="253"/>
      <c r="GR55" s="253"/>
      <c r="GS55" s="253"/>
      <c r="GT55" s="253"/>
      <c r="GU55" s="253"/>
      <c r="GV55" s="253"/>
      <c r="GW55" s="253"/>
      <c r="GX55" s="253"/>
      <c r="GY55" s="253"/>
      <c r="GZ55" s="253"/>
      <c r="HA55" s="253"/>
      <c r="HB55" s="253"/>
      <c r="HC55" s="253"/>
      <c r="HD55" s="253"/>
      <c r="HE55" s="253"/>
      <c r="HF55" s="253"/>
      <c r="HG55" s="253"/>
      <c r="HH55" s="253"/>
      <c r="HI55" s="253"/>
      <c r="HJ55" s="253"/>
      <c r="HK55" s="253"/>
      <c r="HL55" s="253"/>
      <c r="HM55" s="253"/>
      <c r="HN55" s="253"/>
      <c r="HO55" s="253"/>
      <c r="HP55" s="253"/>
      <c r="HQ55" s="253"/>
      <c r="HR55" s="253"/>
      <c r="HS55" s="253"/>
      <c r="HT55" s="253"/>
      <c r="HU55" s="253"/>
      <c r="HV55" s="253"/>
      <c r="HW55" s="253"/>
      <c r="HX55" s="253"/>
      <c r="HY55" s="253"/>
      <c r="HZ55" s="253"/>
      <c r="IA55" s="253"/>
      <c r="IB55" s="253"/>
      <c r="IC55" s="253"/>
      <c r="ID55" s="253"/>
      <c r="IE55" s="253"/>
      <c r="IF55" s="253"/>
      <c r="IG55" s="253"/>
      <c r="IH55" s="253"/>
      <c r="II55" s="253"/>
      <c r="IJ55" s="253"/>
      <c r="IK55" s="253"/>
      <c r="IL55" s="253"/>
      <c r="IM55" s="253"/>
      <c r="IN55" s="253"/>
      <c r="IO55" s="253"/>
      <c r="IP55" s="253"/>
      <c r="IQ55" s="253"/>
      <c r="IR55" s="253"/>
      <c r="IS55" s="253"/>
      <c r="IT55" s="253"/>
      <c r="IU55" s="253"/>
    </row>
    <row r="56" spans="1:255" s="254" customFormat="1" ht="56.25" x14ac:dyDescent="0.2">
      <c r="A56" s="246">
        <v>82</v>
      </c>
      <c r="B56" s="247" t="s">
        <v>458</v>
      </c>
      <c r="C56" s="248" t="s">
        <v>472</v>
      </c>
      <c r="D56" s="249" t="s">
        <v>459</v>
      </c>
      <c r="E56" s="250">
        <v>0.3</v>
      </c>
      <c r="F56" s="251"/>
      <c r="G56" s="252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  <c r="BC56" s="253"/>
      <c r="BD56" s="253"/>
      <c r="BE56" s="253"/>
      <c r="BF56" s="253"/>
      <c r="BG56" s="253"/>
      <c r="BH56" s="253"/>
      <c r="BI56" s="253"/>
      <c r="BJ56" s="253"/>
      <c r="BK56" s="253"/>
      <c r="BL56" s="253"/>
      <c r="BM56" s="253"/>
      <c r="BN56" s="253"/>
      <c r="BO56" s="253"/>
      <c r="BP56" s="253"/>
      <c r="BQ56" s="253"/>
      <c r="BR56" s="253"/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53"/>
      <c r="CF56" s="253"/>
      <c r="CG56" s="253"/>
      <c r="CH56" s="253"/>
      <c r="CI56" s="253"/>
      <c r="CJ56" s="253"/>
      <c r="CK56" s="253"/>
      <c r="CL56" s="253"/>
      <c r="CM56" s="253"/>
      <c r="CN56" s="253"/>
      <c r="CO56" s="253"/>
      <c r="CP56" s="253"/>
      <c r="CQ56" s="253"/>
      <c r="CR56" s="253"/>
      <c r="CS56" s="253"/>
      <c r="CT56" s="253"/>
      <c r="CU56" s="253"/>
      <c r="CV56" s="253"/>
      <c r="CW56" s="253"/>
      <c r="CX56" s="253"/>
      <c r="CY56" s="253"/>
      <c r="CZ56" s="253"/>
      <c r="DA56" s="253"/>
      <c r="DB56" s="253"/>
      <c r="DC56" s="253"/>
      <c r="DD56" s="253"/>
      <c r="DE56" s="253"/>
      <c r="DF56" s="253"/>
      <c r="DG56" s="253"/>
      <c r="DH56" s="253"/>
      <c r="DI56" s="253"/>
      <c r="DJ56" s="253"/>
      <c r="DK56" s="253"/>
      <c r="DL56" s="253"/>
      <c r="DM56" s="253"/>
      <c r="DN56" s="253"/>
      <c r="DO56" s="253"/>
      <c r="DP56" s="253"/>
      <c r="DQ56" s="253"/>
      <c r="DR56" s="253"/>
      <c r="DS56" s="253"/>
      <c r="DT56" s="253"/>
      <c r="DU56" s="253"/>
      <c r="DV56" s="253"/>
      <c r="DW56" s="253"/>
      <c r="DX56" s="253"/>
      <c r="DY56" s="253"/>
      <c r="DZ56" s="253"/>
      <c r="EA56" s="253"/>
      <c r="EB56" s="253"/>
      <c r="EC56" s="253"/>
      <c r="ED56" s="253"/>
      <c r="EE56" s="253"/>
      <c r="EF56" s="253"/>
      <c r="EG56" s="253"/>
      <c r="EH56" s="253"/>
      <c r="EI56" s="253"/>
      <c r="EJ56" s="253"/>
      <c r="EK56" s="253"/>
      <c r="EL56" s="253"/>
      <c r="EM56" s="253"/>
      <c r="EN56" s="253"/>
      <c r="EO56" s="253"/>
      <c r="EP56" s="253"/>
      <c r="EQ56" s="253"/>
      <c r="ER56" s="253"/>
      <c r="ES56" s="253"/>
      <c r="ET56" s="253"/>
      <c r="EU56" s="253"/>
      <c r="EV56" s="253"/>
      <c r="EW56" s="253"/>
      <c r="EX56" s="253"/>
      <c r="EY56" s="253"/>
      <c r="EZ56" s="253"/>
      <c r="FA56" s="253"/>
      <c r="FB56" s="253"/>
      <c r="FC56" s="253"/>
      <c r="FD56" s="253"/>
      <c r="FE56" s="253"/>
      <c r="FF56" s="253"/>
      <c r="FG56" s="253"/>
      <c r="FH56" s="253"/>
      <c r="FI56" s="253"/>
      <c r="FJ56" s="253"/>
      <c r="FK56" s="253"/>
      <c r="FL56" s="253"/>
      <c r="FM56" s="253"/>
      <c r="FN56" s="253"/>
      <c r="FO56" s="253"/>
      <c r="FP56" s="253"/>
      <c r="FQ56" s="253"/>
      <c r="FR56" s="253"/>
      <c r="FS56" s="253"/>
      <c r="FT56" s="253"/>
      <c r="FU56" s="253"/>
      <c r="FV56" s="253"/>
      <c r="FW56" s="253"/>
      <c r="FX56" s="253"/>
      <c r="FY56" s="253"/>
      <c r="FZ56" s="253"/>
      <c r="GA56" s="253"/>
      <c r="GB56" s="253"/>
      <c r="GC56" s="253"/>
      <c r="GD56" s="253"/>
      <c r="GE56" s="253"/>
      <c r="GF56" s="253"/>
      <c r="GG56" s="253"/>
      <c r="GH56" s="253"/>
      <c r="GI56" s="253"/>
      <c r="GJ56" s="253"/>
      <c r="GK56" s="253"/>
      <c r="GL56" s="253"/>
      <c r="GM56" s="253"/>
      <c r="GN56" s="253"/>
      <c r="GO56" s="253"/>
      <c r="GP56" s="253"/>
      <c r="GQ56" s="253"/>
      <c r="GR56" s="253"/>
      <c r="GS56" s="253"/>
      <c r="GT56" s="253"/>
      <c r="GU56" s="253"/>
      <c r="GV56" s="253"/>
      <c r="GW56" s="253"/>
      <c r="GX56" s="253"/>
      <c r="GY56" s="253"/>
      <c r="GZ56" s="253"/>
      <c r="HA56" s="253"/>
      <c r="HB56" s="253"/>
      <c r="HC56" s="253"/>
      <c r="HD56" s="253"/>
      <c r="HE56" s="253"/>
      <c r="HF56" s="253"/>
      <c r="HG56" s="253"/>
      <c r="HH56" s="253"/>
      <c r="HI56" s="253"/>
      <c r="HJ56" s="253"/>
      <c r="HK56" s="253"/>
      <c r="HL56" s="253"/>
      <c r="HM56" s="253"/>
      <c r="HN56" s="253"/>
      <c r="HO56" s="253"/>
      <c r="HP56" s="253"/>
      <c r="HQ56" s="253"/>
      <c r="HR56" s="253"/>
      <c r="HS56" s="253"/>
      <c r="HT56" s="253"/>
      <c r="HU56" s="253"/>
      <c r="HV56" s="253"/>
      <c r="HW56" s="253"/>
      <c r="HX56" s="253"/>
      <c r="HY56" s="253"/>
      <c r="HZ56" s="253"/>
      <c r="IA56" s="253"/>
      <c r="IB56" s="253"/>
      <c r="IC56" s="253"/>
      <c r="ID56" s="253"/>
      <c r="IE56" s="253"/>
      <c r="IF56" s="253"/>
      <c r="IG56" s="253"/>
      <c r="IH56" s="253"/>
      <c r="II56" s="253"/>
      <c r="IJ56" s="253"/>
      <c r="IK56" s="253"/>
      <c r="IL56" s="253"/>
      <c r="IM56" s="253"/>
      <c r="IN56" s="253"/>
      <c r="IO56" s="253"/>
      <c r="IP56" s="253"/>
      <c r="IQ56" s="253"/>
      <c r="IR56" s="253"/>
      <c r="IS56" s="253"/>
      <c r="IT56" s="253"/>
      <c r="IU56" s="253"/>
    </row>
    <row r="57" spans="1:255" s="254" customFormat="1" ht="24" x14ac:dyDescent="0.2">
      <c r="A57" s="263" t="s">
        <v>497</v>
      </c>
      <c r="B57" s="264" t="s">
        <v>460</v>
      </c>
      <c r="C57" s="265" t="s">
        <v>461</v>
      </c>
      <c r="D57" s="266" t="s">
        <v>194</v>
      </c>
      <c r="E57" s="267">
        <v>2.7000000000000001E-3</v>
      </c>
      <c r="F57" s="268"/>
      <c r="G57" s="269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>
        <v>41</v>
      </c>
      <c r="V57" s="253"/>
      <c r="W57" s="253"/>
      <c r="X57" s="253"/>
      <c r="Y57" s="253"/>
      <c r="Z57" s="253"/>
      <c r="AA57" s="253"/>
      <c r="AB57" s="253"/>
      <c r="AC57" s="253"/>
      <c r="AD57" s="253"/>
      <c r="AE57" s="253"/>
      <c r="AF57" s="253"/>
      <c r="AG57" s="253"/>
      <c r="AH57" s="253"/>
      <c r="AI57" s="253"/>
      <c r="AJ57" s="253"/>
      <c r="AK57" s="253"/>
      <c r="AL57" s="253"/>
      <c r="AM57" s="253"/>
      <c r="AN57" s="253"/>
      <c r="AO57" s="253"/>
      <c r="AP57" s="253"/>
      <c r="AQ57" s="253"/>
      <c r="AR57" s="253"/>
      <c r="AS57" s="253"/>
      <c r="AT57" s="253"/>
      <c r="AU57" s="253"/>
      <c r="AV57" s="253"/>
      <c r="AW57" s="253"/>
      <c r="AX57" s="253"/>
      <c r="AY57" s="253"/>
      <c r="AZ57" s="253"/>
      <c r="BA57" s="253"/>
      <c r="BB57" s="253"/>
      <c r="BC57" s="253"/>
      <c r="BD57" s="253"/>
      <c r="BE57" s="253"/>
      <c r="BF57" s="253"/>
      <c r="BG57" s="253"/>
      <c r="BH57" s="253"/>
      <c r="BI57" s="253"/>
      <c r="BJ57" s="253"/>
      <c r="BK57" s="253"/>
      <c r="BL57" s="253"/>
      <c r="BM57" s="253"/>
      <c r="BN57" s="253"/>
      <c r="BO57" s="253"/>
      <c r="BP57" s="253"/>
      <c r="BQ57" s="253"/>
      <c r="BR57" s="253"/>
      <c r="BS57" s="253"/>
      <c r="BT57" s="253"/>
      <c r="BU57" s="253"/>
      <c r="BV57" s="253"/>
      <c r="BW57" s="253"/>
      <c r="BX57" s="253"/>
      <c r="BY57" s="253"/>
      <c r="BZ57" s="253"/>
      <c r="CA57" s="253"/>
      <c r="CB57" s="253"/>
      <c r="CC57" s="253"/>
      <c r="CD57" s="253"/>
      <c r="CE57" s="253"/>
      <c r="CF57" s="253"/>
      <c r="CG57" s="253"/>
      <c r="CH57" s="253"/>
      <c r="CI57" s="253"/>
      <c r="CJ57" s="253"/>
      <c r="CK57" s="253"/>
      <c r="CL57" s="253"/>
      <c r="CM57" s="253"/>
      <c r="CN57" s="253"/>
      <c r="CO57" s="253"/>
      <c r="CP57" s="253"/>
      <c r="CQ57" s="253"/>
      <c r="CR57" s="253"/>
      <c r="CS57" s="253"/>
      <c r="CT57" s="253"/>
      <c r="CU57" s="253"/>
      <c r="CV57" s="253"/>
      <c r="CW57" s="253"/>
      <c r="CX57" s="253"/>
      <c r="CY57" s="253"/>
      <c r="CZ57" s="253"/>
      <c r="DA57" s="253"/>
      <c r="DB57" s="253"/>
      <c r="DC57" s="253"/>
      <c r="DD57" s="253"/>
      <c r="DE57" s="253"/>
      <c r="DF57" s="253"/>
      <c r="DG57" s="253"/>
      <c r="DH57" s="253"/>
      <c r="DI57" s="253">
        <v>34.75</v>
      </c>
      <c r="DJ57" s="253"/>
      <c r="DK57" s="253"/>
      <c r="DL57" s="262">
        <v>34.75</v>
      </c>
      <c r="DM57" s="253">
        <v>41</v>
      </c>
      <c r="DN57" s="253"/>
      <c r="DO57" s="253"/>
      <c r="DP57" s="253"/>
      <c r="DQ57" s="253"/>
      <c r="DR57" s="253"/>
      <c r="DS57" s="253"/>
      <c r="DT57" s="253"/>
      <c r="DU57" s="253"/>
      <c r="DV57" s="253"/>
      <c r="DW57" s="253"/>
      <c r="DX57" s="253"/>
      <c r="DY57" s="253"/>
      <c r="DZ57" s="253"/>
      <c r="EA57" s="253"/>
      <c r="EB57" s="253"/>
      <c r="EC57" s="253"/>
      <c r="ED57" s="253"/>
      <c r="EE57" s="253"/>
      <c r="EF57" s="253"/>
      <c r="EG57" s="253"/>
      <c r="EH57" s="253"/>
      <c r="EI57" s="253"/>
      <c r="EJ57" s="253"/>
      <c r="EK57" s="253"/>
      <c r="EL57" s="253"/>
      <c r="EM57" s="253"/>
      <c r="EN57" s="253"/>
      <c r="EO57" s="253"/>
      <c r="EP57" s="253"/>
      <c r="EQ57" s="253"/>
      <c r="ER57" s="253"/>
      <c r="ES57" s="253"/>
      <c r="ET57" s="253"/>
      <c r="EU57" s="253"/>
      <c r="EV57" s="253"/>
      <c r="EW57" s="253"/>
      <c r="EX57" s="253"/>
      <c r="EY57" s="253"/>
      <c r="EZ57" s="253"/>
      <c r="FA57" s="253"/>
      <c r="FB57" s="253"/>
      <c r="FC57" s="253"/>
      <c r="FD57" s="253"/>
      <c r="FE57" s="253"/>
      <c r="FF57" s="253"/>
      <c r="FG57" s="253"/>
      <c r="FH57" s="253"/>
      <c r="FI57" s="253"/>
      <c r="FJ57" s="253"/>
      <c r="FK57" s="253"/>
      <c r="FL57" s="253"/>
      <c r="FM57" s="253"/>
      <c r="FN57" s="253"/>
      <c r="FO57" s="253"/>
      <c r="FP57" s="253"/>
      <c r="FQ57" s="253"/>
      <c r="FR57" s="253"/>
      <c r="FS57" s="253"/>
      <c r="FT57" s="253"/>
      <c r="FU57" s="253"/>
      <c r="FV57" s="253"/>
      <c r="FW57" s="253"/>
      <c r="FX57" s="253"/>
      <c r="FY57" s="253"/>
      <c r="FZ57" s="253"/>
      <c r="GA57" s="253"/>
      <c r="GB57" s="253"/>
      <c r="GC57" s="253"/>
      <c r="GD57" s="253"/>
      <c r="GE57" s="253"/>
      <c r="GF57" s="253"/>
      <c r="GG57" s="253"/>
      <c r="GH57" s="253"/>
      <c r="GI57" s="253"/>
      <c r="GJ57" s="253"/>
      <c r="GK57" s="253"/>
      <c r="GL57" s="253"/>
      <c r="GM57" s="253"/>
      <c r="GN57" s="253"/>
      <c r="GO57" s="253"/>
      <c r="GP57" s="253"/>
      <c r="GQ57" s="253"/>
      <c r="GR57" s="253"/>
      <c r="GS57" s="253"/>
      <c r="GT57" s="253"/>
      <c r="GU57" s="253"/>
      <c r="GV57" s="253"/>
      <c r="GW57" s="253"/>
      <c r="GX57" s="253"/>
      <c r="GY57" s="253"/>
      <c r="GZ57" s="253"/>
      <c r="HA57" s="253"/>
      <c r="HB57" s="253"/>
      <c r="HC57" s="253"/>
      <c r="HD57" s="253"/>
      <c r="HE57" s="253"/>
      <c r="HF57" s="253"/>
      <c r="HG57" s="253"/>
      <c r="HH57" s="253"/>
      <c r="HI57" s="253"/>
      <c r="HJ57" s="253"/>
      <c r="HK57" s="253"/>
      <c r="HL57" s="253"/>
      <c r="HM57" s="253"/>
      <c r="HN57" s="253"/>
      <c r="HO57" s="253"/>
      <c r="HP57" s="253"/>
      <c r="HQ57" s="253"/>
      <c r="HR57" s="253"/>
      <c r="HS57" s="253"/>
      <c r="HT57" s="253"/>
      <c r="HU57" s="253"/>
      <c r="HV57" s="253"/>
      <c r="HW57" s="253"/>
      <c r="HX57" s="253"/>
      <c r="HY57" s="253"/>
      <c r="HZ57" s="253"/>
      <c r="IA57" s="253"/>
      <c r="IB57" s="253"/>
      <c r="IC57" s="253"/>
      <c r="ID57" s="253"/>
      <c r="IE57" s="253"/>
      <c r="IF57" s="253"/>
      <c r="IG57" s="253"/>
      <c r="IH57" s="253"/>
      <c r="II57" s="253"/>
      <c r="IJ57" s="253"/>
      <c r="IK57" s="253"/>
      <c r="IL57" s="253"/>
      <c r="IM57" s="253"/>
      <c r="IN57" s="253"/>
      <c r="IO57" s="253"/>
      <c r="IP57" s="253"/>
      <c r="IQ57" s="253"/>
      <c r="IR57" s="253"/>
      <c r="IS57" s="253"/>
      <c r="IT57" s="253"/>
      <c r="IU57" s="253"/>
    </row>
    <row r="58" spans="1:255" s="254" customFormat="1" ht="24" x14ac:dyDescent="0.2">
      <c r="A58" s="263" t="s">
        <v>498</v>
      </c>
      <c r="B58" s="264" t="s">
        <v>462</v>
      </c>
      <c r="C58" s="265" t="s">
        <v>463</v>
      </c>
      <c r="D58" s="266" t="s">
        <v>464</v>
      </c>
      <c r="E58" s="267">
        <v>1.0500000000000001E-2</v>
      </c>
      <c r="F58" s="268"/>
      <c r="G58" s="269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>
        <v>341</v>
      </c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  <c r="AK58" s="253"/>
      <c r="AL58" s="253"/>
      <c r="AM58" s="253"/>
      <c r="AN58" s="253"/>
      <c r="AO58" s="253"/>
      <c r="AP58" s="253"/>
      <c r="AQ58" s="253"/>
      <c r="AR58" s="253"/>
      <c r="AS58" s="253"/>
      <c r="AT58" s="253"/>
      <c r="AU58" s="253"/>
      <c r="AV58" s="253"/>
      <c r="AW58" s="253"/>
      <c r="AX58" s="253"/>
      <c r="AY58" s="253"/>
      <c r="AZ58" s="253"/>
      <c r="BA58" s="253"/>
      <c r="BB58" s="253"/>
      <c r="BC58" s="253"/>
      <c r="BD58" s="253"/>
      <c r="BE58" s="253"/>
      <c r="BF58" s="253"/>
      <c r="BG58" s="253"/>
      <c r="BH58" s="253"/>
      <c r="BI58" s="253"/>
      <c r="BJ58" s="253"/>
      <c r="BK58" s="253"/>
      <c r="BL58" s="253"/>
      <c r="BM58" s="253"/>
      <c r="BN58" s="253"/>
      <c r="BO58" s="253"/>
      <c r="BP58" s="253"/>
      <c r="BQ58" s="253"/>
      <c r="BR58" s="253"/>
      <c r="BS58" s="253"/>
      <c r="BT58" s="253"/>
      <c r="BU58" s="253"/>
      <c r="BV58" s="253"/>
      <c r="BW58" s="253"/>
      <c r="BX58" s="253"/>
      <c r="BY58" s="253"/>
      <c r="BZ58" s="253"/>
      <c r="CA58" s="253"/>
      <c r="CB58" s="253"/>
      <c r="CC58" s="253"/>
      <c r="CD58" s="253"/>
      <c r="CE58" s="253"/>
      <c r="CF58" s="253"/>
      <c r="CG58" s="253"/>
      <c r="CH58" s="253"/>
      <c r="CI58" s="253"/>
      <c r="CJ58" s="253"/>
      <c r="CK58" s="253"/>
      <c r="CL58" s="253"/>
      <c r="CM58" s="253"/>
      <c r="CN58" s="253"/>
      <c r="CO58" s="253"/>
      <c r="CP58" s="253"/>
      <c r="CQ58" s="253"/>
      <c r="CR58" s="253"/>
      <c r="CS58" s="253"/>
      <c r="CT58" s="253"/>
      <c r="CU58" s="253"/>
      <c r="CV58" s="253"/>
      <c r="CW58" s="253"/>
      <c r="CX58" s="253"/>
      <c r="CY58" s="253"/>
      <c r="CZ58" s="253"/>
      <c r="DA58" s="253"/>
      <c r="DB58" s="253"/>
      <c r="DC58" s="253"/>
      <c r="DD58" s="253"/>
      <c r="DE58" s="253"/>
      <c r="DF58" s="253"/>
      <c r="DG58" s="253"/>
      <c r="DH58" s="253"/>
      <c r="DI58" s="253">
        <v>288.98</v>
      </c>
      <c r="DJ58" s="253"/>
      <c r="DK58" s="253"/>
      <c r="DL58" s="262">
        <v>288.98</v>
      </c>
      <c r="DM58" s="253">
        <v>341</v>
      </c>
      <c r="DN58" s="253"/>
      <c r="DO58" s="253"/>
      <c r="DP58" s="253"/>
      <c r="DQ58" s="253"/>
      <c r="DR58" s="253"/>
      <c r="DS58" s="253"/>
      <c r="DT58" s="253"/>
      <c r="DU58" s="253"/>
      <c r="DV58" s="253"/>
      <c r="DW58" s="253"/>
      <c r="DX58" s="253"/>
      <c r="DY58" s="253"/>
      <c r="DZ58" s="253"/>
      <c r="EA58" s="253"/>
      <c r="EB58" s="253"/>
      <c r="EC58" s="253"/>
      <c r="ED58" s="253"/>
      <c r="EE58" s="253"/>
      <c r="EF58" s="253"/>
      <c r="EG58" s="253"/>
      <c r="EH58" s="253"/>
      <c r="EI58" s="253"/>
      <c r="EJ58" s="253"/>
      <c r="EK58" s="253"/>
      <c r="EL58" s="253"/>
      <c r="EM58" s="253"/>
      <c r="EN58" s="253"/>
      <c r="EO58" s="253"/>
      <c r="EP58" s="253"/>
      <c r="EQ58" s="253"/>
      <c r="ER58" s="253"/>
      <c r="ES58" s="253"/>
      <c r="ET58" s="253"/>
      <c r="EU58" s="253"/>
      <c r="EV58" s="253"/>
      <c r="EW58" s="253"/>
      <c r="EX58" s="253"/>
      <c r="EY58" s="253"/>
      <c r="EZ58" s="253"/>
      <c r="FA58" s="253"/>
      <c r="FB58" s="253"/>
      <c r="FC58" s="253"/>
      <c r="FD58" s="253"/>
      <c r="FE58" s="253"/>
      <c r="FF58" s="253"/>
      <c r="FG58" s="253"/>
      <c r="FH58" s="253"/>
      <c r="FI58" s="253"/>
      <c r="FJ58" s="253"/>
      <c r="FK58" s="253"/>
      <c r="FL58" s="253"/>
      <c r="FM58" s="253"/>
      <c r="FN58" s="253"/>
      <c r="FO58" s="253"/>
      <c r="FP58" s="253"/>
      <c r="FQ58" s="253"/>
      <c r="FR58" s="253"/>
      <c r="FS58" s="253"/>
      <c r="FT58" s="253"/>
      <c r="FU58" s="253"/>
      <c r="FV58" s="253"/>
      <c r="FW58" s="253"/>
      <c r="FX58" s="253"/>
      <c r="FY58" s="253"/>
      <c r="FZ58" s="253"/>
      <c r="GA58" s="253"/>
      <c r="GB58" s="253"/>
      <c r="GC58" s="253"/>
      <c r="GD58" s="253"/>
      <c r="GE58" s="253"/>
      <c r="GF58" s="253"/>
      <c r="GG58" s="253"/>
      <c r="GH58" s="253"/>
      <c r="GI58" s="253"/>
      <c r="GJ58" s="253"/>
      <c r="GK58" s="253"/>
      <c r="GL58" s="253"/>
      <c r="GM58" s="253"/>
      <c r="GN58" s="253"/>
      <c r="GO58" s="253"/>
      <c r="GP58" s="253"/>
      <c r="GQ58" s="253"/>
      <c r="GR58" s="253"/>
      <c r="GS58" s="253"/>
      <c r="GT58" s="253"/>
      <c r="GU58" s="253"/>
      <c r="GV58" s="253"/>
      <c r="GW58" s="253"/>
      <c r="GX58" s="253"/>
      <c r="GY58" s="253"/>
      <c r="GZ58" s="253"/>
      <c r="HA58" s="253"/>
      <c r="HB58" s="253"/>
      <c r="HC58" s="253"/>
      <c r="HD58" s="253"/>
      <c r="HE58" s="253"/>
      <c r="HF58" s="253"/>
      <c r="HG58" s="253"/>
      <c r="HH58" s="253"/>
      <c r="HI58" s="253"/>
      <c r="HJ58" s="253"/>
      <c r="HK58" s="253"/>
      <c r="HL58" s="253"/>
      <c r="HM58" s="253"/>
      <c r="HN58" s="253"/>
      <c r="HO58" s="253"/>
      <c r="HP58" s="253"/>
      <c r="HQ58" s="253"/>
      <c r="HR58" s="253"/>
      <c r="HS58" s="253"/>
      <c r="HT58" s="253"/>
      <c r="HU58" s="253"/>
      <c r="HV58" s="253"/>
      <c r="HW58" s="253"/>
      <c r="HX58" s="253"/>
      <c r="HY58" s="253"/>
      <c r="HZ58" s="253"/>
      <c r="IA58" s="253"/>
      <c r="IB58" s="253"/>
      <c r="IC58" s="253"/>
      <c r="ID58" s="253"/>
      <c r="IE58" s="253"/>
      <c r="IF58" s="253"/>
      <c r="IG58" s="253"/>
      <c r="IH58" s="253"/>
      <c r="II58" s="253"/>
      <c r="IJ58" s="253"/>
      <c r="IK58" s="253"/>
      <c r="IL58" s="253"/>
      <c r="IM58" s="253"/>
      <c r="IN58" s="253"/>
      <c r="IO58" s="253"/>
      <c r="IP58" s="253"/>
      <c r="IQ58" s="253"/>
      <c r="IR58" s="253"/>
      <c r="IS58" s="253"/>
      <c r="IT58" s="253"/>
      <c r="IU58" s="253"/>
    </row>
    <row r="59" spans="1:255" s="254" customFormat="1" ht="12.75" x14ac:dyDescent="0.2">
      <c r="A59" s="263" t="s">
        <v>499</v>
      </c>
      <c r="B59" s="264" t="s">
        <v>476</v>
      </c>
      <c r="C59" s="265" t="s">
        <v>477</v>
      </c>
      <c r="D59" s="266" t="s">
        <v>430</v>
      </c>
      <c r="E59" s="267">
        <v>1.02</v>
      </c>
      <c r="F59" s="268"/>
      <c r="G59" s="269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>
        <v>4106</v>
      </c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3"/>
      <c r="AO59" s="253"/>
      <c r="AP59" s="253"/>
      <c r="AQ59" s="253"/>
      <c r="AR59" s="253"/>
      <c r="AS59" s="253"/>
      <c r="AT59" s="253"/>
      <c r="AU59" s="253"/>
      <c r="AV59" s="253"/>
      <c r="AW59" s="253"/>
      <c r="AX59" s="253"/>
      <c r="AY59" s="253"/>
      <c r="AZ59" s="253"/>
      <c r="BA59" s="253"/>
      <c r="BB59" s="253"/>
      <c r="BC59" s="253"/>
      <c r="BD59" s="253"/>
      <c r="BE59" s="253"/>
      <c r="BF59" s="253"/>
      <c r="BG59" s="253"/>
      <c r="BH59" s="253"/>
      <c r="BI59" s="253"/>
      <c r="BJ59" s="253"/>
      <c r="BK59" s="253"/>
      <c r="BL59" s="253"/>
      <c r="BM59" s="253"/>
      <c r="BN59" s="253"/>
      <c r="BO59" s="253"/>
      <c r="BP59" s="253"/>
      <c r="BQ59" s="253"/>
      <c r="BR59" s="253"/>
      <c r="BS59" s="253"/>
      <c r="BT59" s="253"/>
      <c r="BU59" s="253"/>
      <c r="BV59" s="253"/>
      <c r="BW59" s="253"/>
      <c r="BX59" s="253"/>
      <c r="BY59" s="253"/>
      <c r="BZ59" s="253"/>
      <c r="CA59" s="253"/>
      <c r="CB59" s="253"/>
      <c r="CC59" s="253"/>
      <c r="CD59" s="253"/>
      <c r="CE59" s="253"/>
      <c r="CF59" s="253"/>
      <c r="CG59" s="253"/>
      <c r="CH59" s="253"/>
      <c r="CI59" s="253"/>
      <c r="CJ59" s="253"/>
      <c r="CK59" s="253"/>
      <c r="CL59" s="253"/>
      <c r="CM59" s="253"/>
      <c r="CN59" s="253"/>
      <c r="CO59" s="253"/>
      <c r="CP59" s="253"/>
      <c r="CQ59" s="253"/>
      <c r="CR59" s="253"/>
      <c r="CS59" s="253"/>
      <c r="CT59" s="253"/>
      <c r="CU59" s="253"/>
      <c r="CV59" s="253"/>
      <c r="CW59" s="253"/>
      <c r="CX59" s="253"/>
      <c r="CY59" s="253"/>
      <c r="CZ59" s="253"/>
      <c r="DA59" s="253"/>
      <c r="DB59" s="253"/>
      <c r="DC59" s="253"/>
      <c r="DD59" s="253"/>
      <c r="DE59" s="253"/>
      <c r="DF59" s="253"/>
      <c r="DG59" s="253"/>
      <c r="DH59" s="253"/>
      <c r="DI59" s="253">
        <v>3479.66</v>
      </c>
      <c r="DJ59" s="253"/>
      <c r="DK59" s="253"/>
      <c r="DL59" s="262">
        <v>3479.66</v>
      </c>
      <c r="DM59" s="253">
        <v>4106</v>
      </c>
      <c r="DN59" s="253"/>
      <c r="DO59" s="253"/>
      <c r="DP59" s="253"/>
      <c r="DQ59" s="253"/>
      <c r="DR59" s="253"/>
      <c r="DS59" s="253"/>
      <c r="DT59" s="253"/>
      <c r="DU59" s="253"/>
      <c r="DV59" s="253"/>
      <c r="DW59" s="253"/>
      <c r="DX59" s="253"/>
      <c r="DY59" s="253"/>
      <c r="DZ59" s="253"/>
      <c r="EA59" s="253"/>
      <c r="EB59" s="253"/>
      <c r="EC59" s="253"/>
      <c r="ED59" s="253"/>
      <c r="EE59" s="253"/>
      <c r="EF59" s="253"/>
      <c r="EG59" s="253"/>
      <c r="EH59" s="253"/>
      <c r="EI59" s="253"/>
      <c r="EJ59" s="253"/>
      <c r="EK59" s="253"/>
      <c r="EL59" s="253"/>
      <c r="EM59" s="253"/>
      <c r="EN59" s="253"/>
      <c r="EO59" s="253"/>
      <c r="EP59" s="253"/>
      <c r="EQ59" s="253"/>
      <c r="ER59" s="253"/>
      <c r="ES59" s="253"/>
      <c r="ET59" s="253"/>
      <c r="EU59" s="253"/>
      <c r="EV59" s="253"/>
      <c r="EW59" s="253"/>
      <c r="EX59" s="253"/>
      <c r="EY59" s="253"/>
      <c r="EZ59" s="253"/>
      <c r="FA59" s="253"/>
      <c r="FB59" s="253"/>
      <c r="FC59" s="253"/>
      <c r="FD59" s="253"/>
      <c r="FE59" s="253"/>
      <c r="FF59" s="253"/>
      <c r="FG59" s="253"/>
      <c r="FH59" s="253"/>
      <c r="FI59" s="253"/>
      <c r="FJ59" s="253"/>
      <c r="FK59" s="253"/>
      <c r="FL59" s="253"/>
      <c r="FM59" s="253"/>
      <c r="FN59" s="253"/>
      <c r="FO59" s="253"/>
      <c r="FP59" s="253"/>
      <c r="FQ59" s="253"/>
      <c r="FR59" s="253"/>
      <c r="FS59" s="253"/>
      <c r="FT59" s="253"/>
      <c r="FU59" s="253"/>
      <c r="FV59" s="253"/>
      <c r="FW59" s="253"/>
      <c r="FX59" s="253"/>
      <c r="FY59" s="253"/>
      <c r="FZ59" s="253"/>
      <c r="GA59" s="253"/>
      <c r="GB59" s="253"/>
      <c r="GC59" s="253"/>
      <c r="GD59" s="253"/>
      <c r="GE59" s="253"/>
      <c r="GF59" s="253"/>
      <c r="GG59" s="253"/>
      <c r="GH59" s="253"/>
      <c r="GI59" s="253"/>
      <c r="GJ59" s="253"/>
      <c r="GK59" s="253"/>
      <c r="GL59" s="253"/>
      <c r="GM59" s="253"/>
      <c r="GN59" s="253"/>
      <c r="GO59" s="253"/>
      <c r="GP59" s="253"/>
      <c r="GQ59" s="253"/>
      <c r="GR59" s="253"/>
      <c r="GS59" s="253"/>
      <c r="GT59" s="253"/>
      <c r="GU59" s="253"/>
      <c r="GV59" s="253"/>
      <c r="GW59" s="253"/>
      <c r="GX59" s="253"/>
      <c r="GY59" s="253"/>
      <c r="GZ59" s="253"/>
      <c r="HA59" s="253"/>
      <c r="HB59" s="253"/>
      <c r="HC59" s="253"/>
      <c r="HD59" s="253"/>
      <c r="HE59" s="253"/>
      <c r="HF59" s="253"/>
      <c r="HG59" s="253"/>
      <c r="HH59" s="253"/>
      <c r="HI59" s="253"/>
      <c r="HJ59" s="253"/>
      <c r="HK59" s="253"/>
      <c r="HL59" s="253"/>
      <c r="HM59" s="253"/>
      <c r="HN59" s="253"/>
      <c r="HO59" s="253"/>
      <c r="HP59" s="253"/>
      <c r="HQ59" s="253"/>
      <c r="HR59" s="253"/>
      <c r="HS59" s="253"/>
      <c r="HT59" s="253"/>
      <c r="HU59" s="253"/>
      <c r="HV59" s="253"/>
      <c r="HW59" s="253"/>
      <c r="HX59" s="253"/>
      <c r="HY59" s="253"/>
      <c r="HZ59" s="253"/>
      <c r="IA59" s="253"/>
      <c r="IB59" s="253"/>
      <c r="IC59" s="253"/>
      <c r="ID59" s="253"/>
      <c r="IE59" s="253"/>
      <c r="IF59" s="253"/>
      <c r="IG59" s="253"/>
      <c r="IH59" s="253"/>
      <c r="II59" s="253"/>
      <c r="IJ59" s="253"/>
      <c r="IK59" s="253"/>
      <c r="IL59" s="253"/>
      <c r="IM59" s="253"/>
      <c r="IN59" s="253"/>
      <c r="IO59" s="253"/>
      <c r="IP59" s="253"/>
      <c r="IQ59" s="253"/>
      <c r="IR59" s="253"/>
      <c r="IS59" s="253"/>
      <c r="IT59" s="253"/>
      <c r="IU59" s="253"/>
    </row>
    <row r="60" spans="1:255" s="274" customFormat="1" ht="18" customHeight="1" x14ac:dyDescent="0.2">
      <c r="A60" s="397" t="s">
        <v>434</v>
      </c>
      <c r="B60" s="397"/>
      <c r="C60" s="398" t="s">
        <v>500</v>
      </c>
      <c r="D60" s="398"/>
      <c r="E60" s="398"/>
      <c r="F60" s="398"/>
      <c r="G60" s="398"/>
    </row>
    <row r="61" spans="1:255" s="254" customFormat="1" ht="36" x14ac:dyDescent="0.2">
      <c r="A61" s="246">
        <v>127</v>
      </c>
      <c r="B61" s="247" t="s">
        <v>442</v>
      </c>
      <c r="C61" s="248" t="s">
        <v>489</v>
      </c>
      <c r="D61" s="249" t="s">
        <v>443</v>
      </c>
      <c r="E61" s="250">
        <v>0.255</v>
      </c>
      <c r="F61" s="251"/>
      <c r="G61" s="252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253"/>
      <c r="AR61" s="253"/>
      <c r="AS61" s="253"/>
      <c r="AT61" s="253"/>
      <c r="AU61" s="253"/>
      <c r="AV61" s="253"/>
      <c r="AW61" s="253"/>
      <c r="AX61" s="253"/>
      <c r="AY61" s="253"/>
      <c r="AZ61" s="253"/>
      <c r="BA61" s="253"/>
      <c r="BB61" s="253"/>
      <c r="BC61" s="253"/>
      <c r="BD61" s="253"/>
      <c r="BE61" s="253"/>
      <c r="BF61" s="253"/>
      <c r="BG61" s="253"/>
      <c r="BH61" s="253"/>
      <c r="BI61" s="253"/>
      <c r="BJ61" s="253"/>
      <c r="BK61" s="253"/>
      <c r="BL61" s="253"/>
      <c r="BM61" s="253"/>
      <c r="BN61" s="253"/>
      <c r="BO61" s="253"/>
      <c r="BP61" s="253"/>
      <c r="BQ61" s="253"/>
      <c r="BR61" s="253"/>
      <c r="BS61" s="253"/>
      <c r="BT61" s="253"/>
      <c r="BU61" s="253"/>
      <c r="BV61" s="253"/>
      <c r="BW61" s="253"/>
      <c r="BX61" s="253"/>
      <c r="BY61" s="253"/>
      <c r="BZ61" s="253"/>
      <c r="CA61" s="253"/>
      <c r="CB61" s="253"/>
      <c r="CC61" s="253"/>
      <c r="CD61" s="253"/>
      <c r="CE61" s="253"/>
      <c r="CF61" s="253"/>
      <c r="CG61" s="253"/>
      <c r="CH61" s="253"/>
      <c r="CI61" s="253"/>
      <c r="CJ61" s="253"/>
      <c r="CK61" s="253"/>
      <c r="CL61" s="253"/>
      <c r="CM61" s="253"/>
      <c r="CN61" s="253"/>
      <c r="CO61" s="253"/>
      <c r="CP61" s="253"/>
      <c r="CQ61" s="253"/>
      <c r="CR61" s="253"/>
      <c r="CS61" s="253"/>
      <c r="CT61" s="253"/>
      <c r="CU61" s="253"/>
      <c r="CV61" s="253"/>
      <c r="CW61" s="253"/>
      <c r="CX61" s="253"/>
      <c r="CY61" s="253"/>
      <c r="CZ61" s="253"/>
      <c r="DA61" s="253"/>
      <c r="DB61" s="253"/>
      <c r="DC61" s="253"/>
      <c r="DD61" s="253"/>
      <c r="DE61" s="253"/>
      <c r="DF61" s="253"/>
      <c r="DG61" s="253"/>
      <c r="DH61" s="253"/>
      <c r="DI61" s="253"/>
      <c r="DJ61" s="253"/>
      <c r="DK61" s="253"/>
      <c r="DL61" s="253"/>
      <c r="DM61" s="253"/>
      <c r="DN61" s="253"/>
      <c r="DO61" s="253"/>
      <c r="DP61" s="253"/>
      <c r="DQ61" s="253"/>
      <c r="DR61" s="253"/>
      <c r="DS61" s="253"/>
      <c r="DT61" s="253"/>
      <c r="DU61" s="253"/>
      <c r="DV61" s="253"/>
      <c r="DW61" s="253"/>
      <c r="DX61" s="253"/>
      <c r="DY61" s="253"/>
      <c r="DZ61" s="253"/>
      <c r="EA61" s="253"/>
      <c r="EB61" s="253"/>
      <c r="EC61" s="253"/>
      <c r="ED61" s="253"/>
      <c r="EE61" s="253"/>
      <c r="EF61" s="253"/>
      <c r="EG61" s="253"/>
      <c r="EH61" s="253"/>
      <c r="EI61" s="253"/>
      <c r="EJ61" s="253"/>
      <c r="EK61" s="253"/>
      <c r="EL61" s="253"/>
      <c r="EM61" s="253"/>
      <c r="EN61" s="253"/>
      <c r="EO61" s="253"/>
      <c r="EP61" s="253"/>
      <c r="EQ61" s="253"/>
      <c r="ER61" s="253"/>
      <c r="ES61" s="253"/>
      <c r="ET61" s="253"/>
      <c r="EU61" s="253"/>
      <c r="EV61" s="253"/>
      <c r="EW61" s="253"/>
      <c r="EX61" s="253"/>
      <c r="EY61" s="253"/>
      <c r="EZ61" s="253"/>
      <c r="FA61" s="253"/>
      <c r="FB61" s="253"/>
      <c r="FC61" s="253"/>
      <c r="FD61" s="253"/>
      <c r="FE61" s="253"/>
      <c r="FF61" s="253"/>
      <c r="FG61" s="253"/>
      <c r="FH61" s="253"/>
      <c r="FI61" s="253"/>
      <c r="FJ61" s="253"/>
      <c r="FK61" s="253"/>
      <c r="FL61" s="253"/>
      <c r="FM61" s="253"/>
      <c r="FN61" s="253"/>
      <c r="FO61" s="253"/>
      <c r="FP61" s="253"/>
      <c r="FQ61" s="253"/>
      <c r="FR61" s="253"/>
      <c r="FS61" s="253"/>
      <c r="FT61" s="253"/>
      <c r="FU61" s="253"/>
      <c r="FV61" s="253"/>
      <c r="FW61" s="253"/>
      <c r="FX61" s="253"/>
      <c r="FY61" s="253"/>
      <c r="FZ61" s="253"/>
      <c r="GA61" s="253"/>
      <c r="GB61" s="253"/>
      <c r="GC61" s="253"/>
      <c r="GD61" s="253"/>
      <c r="GE61" s="253"/>
      <c r="GF61" s="253"/>
      <c r="GG61" s="253"/>
      <c r="GH61" s="253"/>
      <c r="GI61" s="253"/>
      <c r="GJ61" s="253"/>
      <c r="GK61" s="253"/>
      <c r="GL61" s="253"/>
      <c r="GM61" s="253"/>
      <c r="GN61" s="253"/>
      <c r="GO61" s="253"/>
      <c r="GP61" s="253"/>
      <c r="GQ61" s="253"/>
      <c r="GR61" s="253"/>
      <c r="GS61" s="253"/>
      <c r="GT61" s="253"/>
      <c r="GU61" s="253"/>
      <c r="GV61" s="253"/>
      <c r="GW61" s="253"/>
      <c r="GX61" s="253"/>
      <c r="GY61" s="253"/>
      <c r="GZ61" s="253"/>
      <c r="HA61" s="253"/>
      <c r="HB61" s="253"/>
      <c r="HC61" s="253"/>
      <c r="HD61" s="253"/>
      <c r="HE61" s="253"/>
      <c r="HF61" s="253"/>
      <c r="HG61" s="253"/>
      <c r="HH61" s="253"/>
      <c r="HI61" s="253"/>
      <c r="HJ61" s="253"/>
      <c r="HK61" s="253"/>
      <c r="HL61" s="253"/>
      <c r="HM61" s="253"/>
      <c r="HN61" s="253"/>
      <c r="HO61" s="253"/>
      <c r="HP61" s="253"/>
      <c r="HQ61" s="253"/>
      <c r="HR61" s="253"/>
      <c r="HS61" s="253"/>
      <c r="HT61" s="253"/>
      <c r="HU61" s="253"/>
      <c r="HV61" s="253"/>
      <c r="HW61" s="253"/>
      <c r="HX61" s="253"/>
      <c r="HY61" s="253"/>
      <c r="HZ61" s="253"/>
      <c r="IA61" s="253"/>
      <c r="IB61" s="253"/>
      <c r="IC61" s="253"/>
      <c r="ID61" s="253"/>
      <c r="IE61" s="253"/>
      <c r="IF61" s="253"/>
      <c r="IG61" s="253"/>
      <c r="IH61" s="253"/>
      <c r="II61" s="253"/>
      <c r="IJ61" s="253"/>
      <c r="IK61" s="253"/>
      <c r="IL61" s="253"/>
      <c r="IM61" s="253"/>
      <c r="IN61" s="253"/>
      <c r="IO61" s="253"/>
      <c r="IP61" s="253"/>
      <c r="IQ61" s="253"/>
      <c r="IR61" s="253"/>
      <c r="IS61" s="253"/>
      <c r="IT61" s="253"/>
      <c r="IU61" s="253"/>
    </row>
    <row r="62" spans="1:255" s="254" customFormat="1" ht="24" x14ac:dyDescent="0.2">
      <c r="A62" s="263" t="s">
        <v>501</v>
      </c>
      <c r="B62" s="264" t="s">
        <v>452</v>
      </c>
      <c r="C62" s="265" t="s">
        <v>451</v>
      </c>
      <c r="D62" s="266" t="s">
        <v>430</v>
      </c>
      <c r="E62" s="267">
        <v>51</v>
      </c>
      <c r="F62" s="268"/>
      <c r="G62" s="269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>
        <v>174078</v>
      </c>
      <c r="V62" s="253"/>
      <c r="W62" s="253"/>
      <c r="X62" s="253"/>
      <c r="Y62" s="253"/>
      <c r="Z62" s="253"/>
      <c r="AA62" s="253"/>
      <c r="AB62" s="253"/>
      <c r="AC62" s="253"/>
      <c r="AD62" s="253"/>
      <c r="AE62" s="253"/>
      <c r="AF62" s="253"/>
      <c r="AG62" s="253"/>
      <c r="AH62" s="253"/>
      <c r="AI62" s="253"/>
      <c r="AJ62" s="253"/>
      <c r="AK62" s="253"/>
      <c r="AL62" s="253"/>
      <c r="AM62" s="253"/>
      <c r="AN62" s="253"/>
      <c r="AO62" s="253"/>
      <c r="AP62" s="253"/>
      <c r="AQ62" s="253"/>
      <c r="AR62" s="253"/>
      <c r="AS62" s="253"/>
      <c r="AT62" s="253"/>
      <c r="AU62" s="253"/>
      <c r="AV62" s="253"/>
      <c r="AW62" s="253"/>
      <c r="AX62" s="253"/>
      <c r="AY62" s="253"/>
      <c r="AZ62" s="253"/>
      <c r="BA62" s="253"/>
      <c r="BB62" s="253"/>
      <c r="BC62" s="253"/>
      <c r="BD62" s="253"/>
      <c r="BE62" s="253"/>
      <c r="BF62" s="253"/>
      <c r="BG62" s="253"/>
      <c r="BH62" s="253"/>
      <c r="BI62" s="253"/>
      <c r="BJ62" s="253"/>
      <c r="BK62" s="253"/>
      <c r="BL62" s="253"/>
      <c r="BM62" s="253"/>
      <c r="BN62" s="253"/>
      <c r="BO62" s="253"/>
      <c r="BP62" s="253"/>
      <c r="BQ62" s="253"/>
      <c r="BR62" s="253"/>
      <c r="BS62" s="253"/>
      <c r="BT62" s="253"/>
      <c r="BU62" s="253"/>
      <c r="BV62" s="253"/>
      <c r="BW62" s="253"/>
      <c r="BX62" s="253"/>
      <c r="BY62" s="253"/>
      <c r="BZ62" s="253"/>
      <c r="CA62" s="253"/>
      <c r="CB62" s="253"/>
      <c r="CC62" s="253"/>
      <c r="CD62" s="253"/>
      <c r="CE62" s="253"/>
      <c r="CF62" s="253"/>
      <c r="CG62" s="253"/>
      <c r="CH62" s="253"/>
      <c r="CI62" s="253"/>
      <c r="CJ62" s="253"/>
      <c r="CK62" s="253"/>
      <c r="CL62" s="253"/>
      <c r="CM62" s="253"/>
      <c r="CN62" s="253"/>
      <c r="CO62" s="253"/>
      <c r="CP62" s="253"/>
      <c r="CQ62" s="253"/>
      <c r="CR62" s="253"/>
      <c r="CS62" s="253"/>
      <c r="CT62" s="253"/>
      <c r="CU62" s="253"/>
      <c r="CV62" s="253"/>
      <c r="CW62" s="253"/>
      <c r="CX62" s="253"/>
      <c r="CY62" s="253"/>
      <c r="CZ62" s="253"/>
      <c r="DA62" s="253"/>
      <c r="DB62" s="253"/>
      <c r="DC62" s="253"/>
      <c r="DD62" s="253"/>
      <c r="DE62" s="253"/>
      <c r="DF62" s="253"/>
      <c r="DG62" s="253"/>
      <c r="DH62" s="253"/>
      <c r="DI62" s="253">
        <v>644733.32999999996</v>
      </c>
      <c r="DJ62" s="253"/>
      <c r="DK62" s="253"/>
      <c r="DL62" s="262">
        <v>644733.32999999996</v>
      </c>
      <c r="DM62" s="253">
        <v>174078</v>
      </c>
      <c r="DN62" s="253"/>
      <c r="DO62" s="253"/>
      <c r="DP62" s="253"/>
      <c r="DQ62" s="253"/>
      <c r="DR62" s="253"/>
      <c r="DS62" s="253"/>
      <c r="DT62" s="253"/>
      <c r="DU62" s="253"/>
      <c r="DV62" s="253"/>
      <c r="DW62" s="253"/>
      <c r="DX62" s="253"/>
      <c r="DY62" s="253"/>
      <c r="DZ62" s="253"/>
      <c r="EA62" s="253"/>
      <c r="EB62" s="253"/>
      <c r="EC62" s="253"/>
      <c r="ED62" s="253"/>
      <c r="EE62" s="253"/>
      <c r="EF62" s="253"/>
      <c r="EG62" s="253"/>
      <c r="EH62" s="253"/>
      <c r="EI62" s="253"/>
      <c r="EJ62" s="253"/>
      <c r="EK62" s="253"/>
      <c r="EL62" s="253"/>
      <c r="EM62" s="253"/>
      <c r="EN62" s="253"/>
      <c r="EO62" s="253"/>
      <c r="EP62" s="253"/>
      <c r="EQ62" s="253"/>
      <c r="ER62" s="253"/>
      <c r="ES62" s="253"/>
      <c r="ET62" s="253"/>
      <c r="EU62" s="253"/>
      <c r="EV62" s="253"/>
      <c r="EW62" s="253"/>
      <c r="EX62" s="253"/>
      <c r="EY62" s="253"/>
      <c r="EZ62" s="253"/>
      <c r="FA62" s="253"/>
      <c r="FB62" s="253"/>
      <c r="FC62" s="253"/>
      <c r="FD62" s="253"/>
      <c r="FE62" s="253"/>
      <c r="FF62" s="253"/>
      <c r="FG62" s="253"/>
      <c r="FH62" s="253"/>
      <c r="FI62" s="253"/>
      <c r="FJ62" s="253"/>
      <c r="FK62" s="253"/>
      <c r="FL62" s="253"/>
      <c r="FM62" s="253"/>
      <c r="FN62" s="253"/>
      <c r="FO62" s="253"/>
      <c r="FP62" s="253"/>
      <c r="FQ62" s="253"/>
      <c r="FR62" s="253"/>
      <c r="FS62" s="253"/>
      <c r="FT62" s="253"/>
      <c r="FU62" s="253"/>
      <c r="FV62" s="253"/>
      <c r="FW62" s="253"/>
      <c r="FX62" s="253"/>
      <c r="FY62" s="253"/>
      <c r="FZ62" s="253"/>
      <c r="GA62" s="253"/>
      <c r="GB62" s="253"/>
      <c r="GC62" s="253"/>
      <c r="GD62" s="253"/>
      <c r="GE62" s="253"/>
      <c r="GF62" s="253"/>
      <c r="GG62" s="253"/>
      <c r="GH62" s="253"/>
      <c r="GI62" s="253"/>
      <c r="GJ62" s="253"/>
      <c r="GK62" s="253"/>
      <c r="GL62" s="253"/>
      <c r="GM62" s="253"/>
      <c r="GN62" s="253"/>
      <c r="GO62" s="253"/>
      <c r="GP62" s="253"/>
      <c r="GQ62" s="253"/>
      <c r="GR62" s="253"/>
      <c r="GS62" s="253"/>
      <c r="GT62" s="253"/>
      <c r="GU62" s="253"/>
      <c r="GV62" s="253"/>
      <c r="GW62" s="253"/>
      <c r="GX62" s="253"/>
      <c r="GY62" s="253"/>
      <c r="GZ62" s="253"/>
      <c r="HA62" s="253"/>
      <c r="HB62" s="253"/>
      <c r="HC62" s="253"/>
      <c r="HD62" s="253"/>
      <c r="HE62" s="253"/>
      <c r="HF62" s="253"/>
      <c r="HG62" s="253"/>
      <c r="HH62" s="253"/>
      <c r="HI62" s="253"/>
      <c r="HJ62" s="253"/>
      <c r="HK62" s="253"/>
      <c r="HL62" s="253"/>
      <c r="HM62" s="253"/>
      <c r="HN62" s="253"/>
      <c r="HO62" s="253"/>
      <c r="HP62" s="253"/>
      <c r="HQ62" s="253"/>
      <c r="HR62" s="253"/>
      <c r="HS62" s="253"/>
      <c r="HT62" s="253"/>
      <c r="HU62" s="253"/>
      <c r="HV62" s="253"/>
      <c r="HW62" s="253"/>
      <c r="HX62" s="253"/>
      <c r="HY62" s="253"/>
      <c r="HZ62" s="253"/>
      <c r="IA62" s="253"/>
      <c r="IB62" s="253"/>
      <c r="IC62" s="253"/>
      <c r="ID62" s="253"/>
      <c r="IE62" s="253"/>
      <c r="IF62" s="253"/>
      <c r="IG62" s="253"/>
      <c r="IH62" s="253"/>
      <c r="II62" s="253"/>
      <c r="IJ62" s="253"/>
      <c r="IK62" s="253"/>
      <c r="IL62" s="253"/>
      <c r="IM62" s="253"/>
      <c r="IN62" s="253"/>
      <c r="IO62" s="253"/>
      <c r="IP62" s="253"/>
      <c r="IQ62" s="253"/>
      <c r="IR62" s="253"/>
      <c r="IS62" s="253"/>
      <c r="IT62" s="253"/>
      <c r="IU62" s="253"/>
    </row>
    <row r="63" spans="1:255" s="254" customFormat="1" ht="56.25" x14ac:dyDescent="0.2">
      <c r="A63" s="246">
        <v>128</v>
      </c>
      <c r="B63" s="247" t="s">
        <v>458</v>
      </c>
      <c r="C63" s="248" t="s">
        <v>472</v>
      </c>
      <c r="D63" s="249" t="s">
        <v>459</v>
      </c>
      <c r="E63" s="250">
        <v>0.3</v>
      </c>
      <c r="F63" s="251"/>
      <c r="G63" s="252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3"/>
      <c r="AK63" s="253"/>
      <c r="AL63" s="253"/>
      <c r="AM63" s="253"/>
      <c r="AN63" s="253"/>
      <c r="AO63" s="253"/>
      <c r="AP63" s="253"/>
      <c r="AQ63" s="253"/>
      <c r="AR63" s="253"/>
      <c r="AS63" s="253"/>
      <c r="AT63" s="253"/>
      <c r="AU63" s="253"/>
      <c r="AV63" s="253"/>
      <c r="AW63" s="253"/>
      <c r="AX63" s="253"/>
      <c r="AY63" s="253"/>
      <c r="AZ63" s="253"/>
      <c r="BA63" s="253"/>
      <c r="BB63" s="253"/>
      <c r="BC63" s="253"/>
      <c r="BD63" s="253"/>
      <c r="BE63" s="253"/>
      <c r="BF63" s="253"/>
      <c r="BG63" s="253"/>
      <c r="BH63" s="253"/>
      <c r="BI63" s="253"/>
      <c r="BJ63" s="253"/>
      <c r="BK63" s="253"/>
      <c r="BL63" s="253"/>
      <c r="BM63" s="253"/>
      <c r="BN63" s="253"/>
      <c r="BO63" s="253"/>
      <c r="BP63" s="253"/>
      <c r="BQ63" s="253"/>
      <c r="BR63" s="253"/>
      <c r="BS63" s="253"/>
      <c r="BT63" s="253"/>
      <c r="BU63" s="253"/>
      <c r="BV63" s="253"/>
      <c r="BW63" s="253"/>
      <c r="BX63" s="253"/>
      <c r="BY63" s="253"/>
      <c r="BZ63" s="253"/>
      <c r="CA63" s="253"/>
      <c r="CB63" s="253"/>
      <c r="CC63" s="253"/>
      <c r="CD63" s="253"/>
      <c r="CE63" s="253"/>
      <c r="CF63" s="253"/>
      <c r="CG63" s="253"/>
      <c r="CH63" s="253"/>
      <c r="CI63" s="253"/>
      <c r="CJ63" s="253"/>
      <c r="CK63" s="253"/>
      <c r="CL63" s="253"/>
      <c r="CM63" s="253"/>
      <c r="CN63" s="253"/>
      <c r="CO63" s="253"/>
      <c r="CP63" s="253"/>
      <c r="CQ63" s="253"/>
      <c r="CR63" s="253"/>
      <c r="CS63" s="253"/>
      <c r="CT63" s="253"/>
      <c r="CU63" s="253"/>
      <c r="CV63" s="253"/>
      <c r="CW63" s="253"/>
      <c r="CX63" s="253"/>
      <c r="CY63" s="253"/>
      <c r="CZ63" s="253"/>
      <c r="DA63" s="253"/>
      <c r="DB63" s="253"/>
      <c r="DC63" s="253"/>
      <c r="DD63" s="253"/>
      <c r="DE63" s="253"/>
      <c r="DF63" s="253"/>
      <c r="DG63" s="253"/>
      <c r="DH63" s="253"/>
      <c r="DI63" s="253"/>
      <c r="DJ63" s="253"/>
      <c r="DK63" s="253"/>
      <c r="DL63" s="253"/>
      <c r="DM63" s="253"/>
      <c r="DN63" s="253"/>
      <c r="DO63" s="253"/>
      <c r="DP63" s="253"/>
      <c r="DQ63" s="253"/>
      <c r="DR63" s="253"/>
      <c r="DS63" s="253"/>
      <c r="DT63" s="253"/>
      <c r="DU63" s="253"/>
      <c r="DV63" s="253"/>
      <c r="DW63" s="253"/>
      <c r="DX63" s="253"/>
      <c r="DY63" s="253"/>
      <c r="DZ63" s="253"/>
      <c r="EA63" s="253"/>
      <c r="EB63" s="253"/>
      <c r="EC63" s="253"/>
      <c r="ED63" s="253"/>
      <c r="EE63" s="253"/>
      <c r="EF63" s="253"/>
      <c r="EG63" s="253"/>
      <c r="EH63" s="253"/>
      <c r="EI63" s="253"/>
      <c r="EJ63" s="253"/>
      <c r="EK63" s="253"/>
      <c r="EL63" s="253"/>
      <c r="EM63" s="253"/>
      <c r="EN63" s="253"/>
      <c r="EO63" s="253"/>
      <c r="EP63" s="253"/>
      <c r="EQ63" s="253"/>
      <c r="ER63" s="253"/>
      <c r="ES63" s="253"/>
      <c r="ET63" s="253"/>
      <c r="EU63" s="253"/>
      <c r="EV63" s="253"/>
      <c r="EW63" s="253"/>
      <c r="EX63" s="253"/>
      <c r="EY63" s="253"/>
      <c r="EZ63" s="253"/>
      <c r="FA63" s="253"/>
      <c r="FB63" s="253"/>
      <c r="FC63" s="253"/>
      <c r="FD63" s="253"/>
      <c r="FE63" s="253"/>
      <c r="FF63" s="253"/>
      <c r="FG63" s="253"/>
      <c r="FH63" s="253"/>
      <c r="FI63" s="253"/>
      <c r="FJ63" s="253"/>
      <c r="FK63" s="253"/>
      <c r="FL63" s="253"/>
      <c r="FM63" s="253"/>
      <c r="FN63" s="253"/>
      <c r="FO63" s="253"/>
      <c r="FP63" s="253"/>
      <c r="FQ63" s="253"/>
      <c r="FR63" s="253"/>
      <c r="FS63" s="253"/>
      <c r="FT63" s="253"/>
      <c r="FU63" s="253"/>
      <c r="FV63" s="253"/>
      <c r="FW63" s="253"/>
      <c r="FX63" s="253"/>
      <c r="FY63" s="253"/>
      <c r="FZ63" s="253"/>
      <c r="GA63" s="253"/>
      <c r="GB63" s="253"/>
      <c r="GC63" s="253"/>
      <c r="GD63" s="253"/>
      <c r="GE63" s="253"/>
      <c r="GF63" s="253"/>
      <c r="GG63" s="253"/>
      <c r="GH63" s="253"/>
      <c r="GI63" s="253"/>
      <c r="GJ63" s="253"/>
      <c r="GK63" s="253"/>
      <c r="GL63" s="253"/>
      <c r="GM63" s="253"/>
      <c r="GN63" s="253"/>
      <c r="GO63" s="253"/>
      <c r="GP63" s="253"/>
      <c r="GQ63" s="253"/>
      <c r="GR63" s="253"/>
      <c r="GS63" s="253"/>
      <c r="GT63" s="253"/>
      <c r="GU63" s="253"/>
      <c r="GV63" s="253"/>
      <c r="GW63" s="253"/>
      <c r="GX63" s="253"/>
      <c r="GY63" s="253"/>
      <c r="GZ63" s="253"/>
      <c r="HA63" s="253"/>
      <c r="HB63" s="253"/>
      <c r="HC63" s="253"/>
      <c r="HD63" s="253"/>
      <c r="HE63" s="253"/>
      <c r="HF63" s="253"/>
      <c r="HG63" s="253"/>
      <c r="HH63" s="253"/>
      <c r="HI63" s="253"/>
      <c r="HJ63" s="253"/>
      <c r="HK63" s="253"/>
      <c r="HL63" s="253"/>
      <c r="HM63" s="253"/>
      <c r="HN63" s="253"/>
      <c r="HO63" s="253"/>
      <c r="HP63" s="253"/>
      <c r="HQ63" s="253"/>
      <c r="HR63" s="253"/>
      <c r="HS63" s="253"/>
      <c r="HT63" s="253"/>
      <c r="HU63" s="253"/>
      <c r="HV63" s="253"/>
      <c r="HW63" s="253"/>
      <c r="HX63" s="253"/>
      <c r="HY63" s="253"/>
      <c r="HZ63" s="253"/>
      <c r="IA63" s="253"/>
      <c r="IB63" s="253"/>
      <c r="IC63" s="253"/>
      <c r="ID63" s="253"/>
      <c r="IE63" s="253"/>
      <c r="IF63" s="253"/>
      <c r="IG63" s="253"/>
      <c r="IH63" s="253"/>
      <c r="II63" s="253"/>
      <c r="IJ63" s="253"/>
      <c r="IK63" s="253"/>
      <c r="IL63" s="253"/>
      <c r="IM63" s="253"/>
      <c r="IN63" s="253"/>
      <c r="IO63" s="253"/>
      <c r="IP63" s="253"/>
      <c r="IQ63" s="253"/>
      <c r="IR63" s="253"/>
      <c r="IS63" s="253"/>
      <c r="IT63" s="253"/>
      <c r="IU63" s="253"/>
    </row>
    <row r="64" spans="1:255" s="254" customFormat="1" ht="24" x14ac:dyDescent="0.2">
      <c r="A64" s="263" t="s">
        <v>502</v>
      </c>
      <c r="B64" s="264" t="s">
        <v>460</v>
      </c>
      <c r="C64" s="265" t="s">
        <v>461</v>
      </c>
      <c r="D64" s="266" t="s">
        <v>194</v>
      </c>
      <c r="E64" s="267">
        <v>2.7000000000000001E-3</v>
      </c>
      <c r="F64" s="268"/>
      <c r="G64" s="269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>
        <v>47</v>
      </c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3"/>
      <c r="AI64" s="253"/>
      <c r="AJ64" s="253"/>
      <c r="AK64" s="253"/>
      <c r="AL64" s="253"/>
      <c r="AM64" s="253"/>
      <c r="AN64" s="253"/>
      <c r="AO64" s="253"/>
      <c r="AP64" s="253"/>
      <c r="AQ64" s="253"/>
      <c r="AR64" s="253"/>
      <c r="AS64" s="253"/>
      <c r="AT64" s="253"/>
      <c r="AU64" s="253"/>
      <c r="AV64" s="253"/>
      <c r="AW64" s="253"/>
      <c r="AX64" s="253"/>
      <c r="AY64" s="253"/>
      <c r="AZ64" s="253"/>
      <c r="BA64" s="253"/>
      <c r="BB64" s="253"/>
      <c r="BC64" s="253"/>
      <c r="BD64" s="253"/>
      <c r="BE64" s="253"/>
      <c r="BF64" s="253"/>
      <c r="BG64" s="253"/>
      <c r="BH64" s="253"/>
      <c r="BI64" s="253"/>
      <c r="BJ64" s="253"/>
      <c r="BK64" s="253"/>
      <c r="BL64" s="253"/>
      <c r="BM64" s="253"/>
      <c r="BN64" s="253"/>
      <c r="BO64" s="253"/>
      <c r="BP64" s="253"/>
      <c r="BQ64" s="253"/>
      <c r="BR64" s="253"/>
      <c r="BS64" s="253"/>
      <c r="BT64" s="253"/>
      <c r="BU64" s="253"/>
      <c r="BV64" s="253"/>
      <c r="BW64" s="253"/>
      <c r="BX64" s="253"/>
      <c r="BY64" s="253"/>
      <c r="BZ64" s="253"/>
      <c r="CA64" s="253"/>
      <c r="CB64" s="253"/>
      <c r="CC64" s="253"/>
      <c r="CD64" s="253"/>
      <c r="CE64" s="253"/>
      <c r="CF64" s="253"/>
      <c r="CG64" s="253"/>
      <c r="CH64" s="253"/>
      <c r="CI64" s="253"/>
      <c r="CJ64" s="253"/>
      <c r="CK64" s="253"/>
      <c r="CL64" s="253"/>
      <c r="CM64" s="253"/>
      <c r="CN64" s="253"/>
      <c r="CO64" s="253"/>
      <c r="CP64" s="253"/>
      <c r="CQ64" s="253"/>
      <c r="CR64" s="253"/>
      <c r="CS64" s="253"/>
      <c r="CT64" s="253"/>
      <c r="CU64" s="253"/>
      <c r="CV64" s="253"/>
      <c r="CW64" s="253"/>
      <c r="CX64" s="253"/>
      <c r="CY64" s="253"/>
      <c r="CZ64" s="253"/>
      <c r="DA64" s="253"/>
      <c r="DB64" s="253"/>
      <c r="DC64" s="253"/>
      <c r="DD64" s="253"/>
      <c r="DE64" s="253"/>
      <c r="DF64" s="253"/>
      <c r="DG64" s="253"/>
      <c r="DH64" s="253"/>
      <c r="DI64" s="253">
        <v>34.56</v>
      </c>
      <c r="DJ64" s="253"/>
      <c r="DK64" s="253"/>
      <c r="DL64" s="262">
        <v>34.56</v>
      </c>
      <c r="DM64" s="253">
        <v>47</v>
      </c>
      <c r="DN64" s="253"/>
      <c r="DO64" s="253"/>
      <c r="DP64" s="253"/>
      <c r="DQ64" s="253"/>
      <c r="DR64" s="253"/>
      <c r="DS64" s="253"/>
      <c r="DT64" s="253"/>
      <c r="DU64" s="253"/>
      <c r="DV64" s="253"/>
      <c r="DW64" s="253"/>
      <c r="DX64" s="253"/>
      <c r="DY64" s="253"/>
      <c r="DZ64" s="253"/>
      <c r="EA64" s="253"/>
      <c r="EB64" s="253"/>
      <c r="EC64" s="253"/>
      <c r="ED64" s="253"/>
      <c r="EE64" s="253"/>
      <c r="EF64" s="253"/>
      <c r="EG64" s="253"/>
      <c r="EH64" s="253"/>
      <c r="EI64" s="253"/>
      <c r="EJ64" s="253"/>
      <c r="EK64" s="253"/>
      <c r="EL64" s="253"/>
      <c r="EM64" s="253"/>
      <c r="EN64" s="253"/>
      <c r="EO64" s="253"/>
      <c r="EP64" s="253"/>
      <c r="EQ64" s="253"/>
      <c r="ER64" s="253"/>
      <c r="ES64" s="253"/>
      <c r="ET64" s="253"/>
      <c r="EU64" s="253"/>
      <c r="EV64" s="253"/>
      <c r="EW64" s="253"/>
      <c r="EX64" s="253"/>
      <c r="EY64" s="253"/>
      <c r="EZ64" s="253"/>
      <c r="FA64" s="253"/>
      <c r="FB64" s="253"/>
      <c r="FC64" s="253"/>
      <c r="FD64" s="253"/>
      <c r="FE64" s="253"/>
      <c r="FF64" s="253"/>
      <c r="FG64" s="253"/>
      <c r="FH64" s="253"/>
      <c r="FI64" s="253"/>
      <c r="FJ64" s="253"/>
      <c r="FK64" s="253"/>
      <c r="FL64" s="253"/>
      <c r="FM64" s="253"/>
      <c r="FN64" s="253"/>
      <c r="FO64" s="253"/>
      <c r="FP64" s="253"/>
      <c r="FQ64" s="253"/>
      <c r="FR64" s="253"/>
      <c r="FS64" s="253"/>
      <c r="FT64" s="253"/>
      <c r="FU64" s="253"/>
      <c r="FV64" s="253"/>
      <c r="FW64" s="253"/>
      <c r="FX64" s="253"/>
      <c r="FY64" s="253"/>
      <c r="FZ64" s="253"/>
      <c r="GA64" s="253"/>
      <c r="GB64" s="253"/>
      <c r="GC64" s="253"/>
      <c r="GD64" s="253"/>
      <c r="GE64" s="253"/>
      <c r="GF64" s="253"/>
      <c r="GG64" s="253"/>
      <c r="GH64" s="253"/>
      <c r="GI64" s="253"/>
      <c r="GJ64" s="253"/>
      <c r="GK64" s="253"/>
      <c r="GL64" s="253"/>
      <c r="GM64" s="253"/>
      <c r="GN64" s="253"/>
      <c r="GO64" s="253"/>
      <c r="GP64" s="253"/>
      <c r="GQ64" s="253"/>
      <c r="GR64" s="253"/>
      <c r="GS64" s="253"/>
      <c r="GT64" s="253"/>
      <c r="GU64" s="253"/>
      <c r="GV64" s="253"/>
      <c r="GW64" s="253"/>
      <c r="GX64" s="253"/>
      <c r="GY64" s="253"/>
      <c r="GZ64" s="253"/>
      <c r="HA64" s="253"/>
      <c r="HB64" s="253"/>
      <c r="HC64" s="253"/>
      <c r="HD64" s="253"/>
      <c r="HE64" s="253"/>
      <c r="HF64" s="253"/>
      <c r="HG64" s="253"/>
      <c r="HH64" s="253"/>
      <c r="HI64" s="253"/>
      <c r="HJ64" s="253"/>
      <c r="HK64" s="253"/>
      <c r="HL64" s="253"/>
      <c r="HM64" s="253"/>
      <c r="HN64" s="253"/>
      <c r="HO64" s="253"/>
      <c r="HP64" s="253"/>
      <c r="HQ64" s="253"/>
      <c r="HR64" s="253"/>
      <c r="HS64" s="253"/>
      <c r="HT64" s="253"/>
      <c r="HU64" s="253"/>
      <c r="HV64" s="253"/>
      <c r="HW64" s="253"/>
      <c r="HX64" s="253"/>
      <c r="HY64" s="253"/>
      <c r="HZ64" s="253"/>
      <c r="IA64" s="253"/>
      <c r="IB64" s="253"/>
      <c r="IC64" s="253"/>
      <c r="ID64" s="253"/>
      <c r="IE64" s="253"/>
      <c r="IF64" s="253"/>
      <c r="IG64" s="253"/>
      <c r="IH64" s="253"/>
      <c r="II64" s="253"/>
      <c r="IJ64" s="253"/>
      <c r="IK64" s="253"/>
      <c r="IL64" s="253"/>
      <c r="IM64" s="253"/>
      <c r="IN64" s="253"/>
      <c r="IO64" s="253"/>
      <c r="IP64" s="253"/>
      <c r="IQ64" s="253"/>
      <c r="IR64" s="253"/>
      <c r="IS64" s="253"/>
      <c r="IT64" s="253"/>
      <c r="IU64" s="253"/>
    </row>
    <row r="65" spans="1:255" s="254" customFormat="1" ht="24" x14ac:dyDescent="0.2">
      <c r="A65" s="263" t="s">
        <v>503</v>
      </c>
      <c r="B65" s="264" t="s">
        <v>462</v>
      </c>
      <c r="C65" s="265" t="s">
        <v>463</v>
      </c>
      <c r="D65" s="266" t="s">
        <v>464</v>
      </c>
      <c r="E65" s="267">
        <v>1.0500000000000001E-2</v>
      </c>
      <c r="F65" s="268"/>
      <c r="G65" s="269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>
        <v>393</v>
      </c>
      <c r="V65" s="253"/>
      <c r="W65" s="253"/>
      <c r="X65" s="253"/>
      <c r="Y65" s="253"/>
      <c r="Z65" s="253"/>
      <c r="AA65" s="253"/>
      <c r="AB65" s="253"/>
      <c r="AC65" s="253"/>
      <c r="AD65" s="253"/>
      <c r="AE65" s="253"/>
      <c r="AF65" s="253"/>
      <c r="AG65" s="253"/>
      <c r="AH65" s="253"/>
      <c r="AI65" s="253"/>
      <c r="AJ65" s="253"/>
      <c r="AK65" s="253"/>
      <c r="AL65" s="253"/>
      <c r="AM65" s="253"/>
      <c r="AN65" s="253"/>
      <c r="AO65" s="253"/>
      <c r="AP65" s="253"/>
      <c r="AQ65" s="253"/>
      <c r="AR65" s="253"/>
      <c r="AS65" s="253"/>
      <c r="AT65" s="253"/>
      <c r="AU65" s="253"/>
      <c r="AV65" s="253"/>
      <c r="AW65" s="253"/>
      <c r="AX65" s="253"/>
      <c r="AY65" s="253"/>
      <c r="AZ65" s="253"/>
      <c r="BA65" s="253"/>
      <c r="BB65" s="253"/>
      <c r="BC65" s="253"/>
      <c r="BD65" s="253"/>
      <c r="BE65" s="253"/>
      <c r="BF65" s="253"/>
      <c r="BG65" s="253"/>
      <c r="BH65" s="253"/>
      <c r="BI65" s="253"/>
      <c r="BJ65" s="253"/>
      <c r="BK65" s="253"/>
      <c r="BL65" s="253"/>
      <c r="BM65" s="253"/>
      <c r="BN65" s="253"/>
      <c r="BO65" s="253"/>
      <c r="BP65" s="253"/>
      <c r="BQ65" s="253"/>
      <c r="BR65" s="253"/>
      <c r="BS65" s="253"/>
      <c r="BT65" s="253"/>
      <c r="BU65" s="253"/>
      <c r="BV65" s="253"/>
      <c r="BW65" s="253"/>
      <c r="BX65" s="253"/>
      <c r="BY65" s="253"/>
      <c r="BZ65" s="253"/>
      <c r="CA65" s="253"/>
      <c r="CB65" s="253"/>
      <c r="CC65" s="253"/>
      <c r="CD65" s="253"/>
      <c r="CE65" s="253"/>
      <c r="CF65" s="253"/>
      <c r="CG65" s="253"/>
      <c r="CH65" s="253"/>
      <c r="CI65" s="253"/>
      <c r="CJ65" s="253"/>
      <c r="CK65" s="253"/>
      <c r="CL65" s="253"/>
      <c r="CM65" s="253"/>
      <c r="CN65" s="253"/>
      <c r="CO65" s="253"/>
      <c r="CP65" s="253"/>
      <c r="CQ65" s="253"/>
      <c r="CR65" s="253"/>
      <c r="CS65" s="253"/>
      <c r="CT65" s="253"/>
      <c r="CU65" s="253"/>
      <c r="CV65" s="253"/>
      <c r="CW65" s="253"/>
      <c r="CX65" s="253"/>
      <c r="CY65" s="253"/>
      <c r="CZ65" s="253"/>
      <c r="DA65" s="253"/>
      <c r="DB65" s="253"/>
      <c r="DC65" s="253"/>
      <c r="DD65" s="253"/>
      <c r="DE65" s="253"/>
      <c r="DF65" s="253"/>
      <c r="DG65" s="253"/>
      <c r="DH65" s="253"/>
      <c r="DI65" s="253">
        <v>288.97000000000003</v>
      </c>
      <c r="DJ65" s="253"/>
      <c r="DK65" s="253"/>
      <c r="DL65" s="262">
        <v>288.97000000000003</v>
      </c>
      <c r="DM65" s="253">
        <v>393</v>
      </c>
      <c r="DN65" s="253"/>
      <c r="DO65" s="253"/>
      <c r="DP65" s="253"/>
      <c r="DQ65" s="253"/>
      <c r="DR65" s="253"/>
      <c r="DS65" s="253"/>
      <c r="DT65" s="253"/>
      <c r="DU65" s="253"/>
      <c r="DV65" s="253"/>
      <c r="DW65" s="253"/>
      <c r="DX65" s="253"/>
      <c r="DY65" s="253"/>
      <c r="DZ65" s="253"/>
      <c r="EA65" s="253"/>
      <c r="EB65" s="253"/>
      <c r="EC65" s="253"/>
      <c r="ED65" s="253"/>
      <c r="EE65" s="253"/>
      <c r="EF65" s="253"/>
      <c r="EG65" s="253"/>
      <c r="EH65" s="253"/>
      <c r="EI65" s="253"/>
      <c r="EJ65" s="253"/>
      <c r="EK65" s="253"/>
      <c r="EL65" s="253"/>
      <c r="EM65" s="253"/>
      <c r="EN65" s="253"/>
      <c r="EO65" s="253"/>
      <c r="EP65" s="253"/>
      <c r="EQ65" s="253"/>
      <c r="ER65" s="253"/>
      <c r="ES65" s="253"/>
      <c r="ET65" s="253"/>
      <c r="EU65" s="253"/>
      <c r="EV65" s="253"/>
      <c r="EW65" s="253"/>
      <c r="EX65" s="253"/>
      <c r="EY65" s="253"/>
      <c r="EZ65" s="253"/>
      <c r="FA65" s="253"/>
      <c r="FB65" s="253"/>
      <c r="FC65" s="253"/>
      <c r="FD65" s="253"/>
      <c r="FE65" s="253"/>
      <c r="FF65" s="253"/>
      <c r="FG65" s="253"/>
      <c r="FH65" s="253"/>
      <c r="FI65" s="253"/>
      <c r="FJ65" s="253"/>
      <c r="FK65" s="253"/>
      <c r="FL65" s="253"/>
      <c r="FM65" s="253"/>
      <c r="FN65" s="253"/>
      <c r="FO65" s="253"/>
      <c r="FP65" s="253"/>
      <c r="FQ65" s="253"/>
      <c r="FR65" s="253"/>
      <c r="FS65" s="253"/>
      <c r="FT65" s="253"/>
      <c r="FU65" s="253"/>
      <c r="FV65" s="253"/>
      <c r="FW65" s="253"/>
      <c r="FX65" s="253"/>
      <c r="FY65" s="253"/>
      <c r="FZ65" s="253"/>
      <c r="GA65" s="253"/>
      <c r="GB65" s="253"/>
      <c r="GC65" s="253"/>
      <c r="GD65" s="253"/>
      <c r="GE65" s="253"/>
      <c r="GF65" s="253"/>
      <c r="GG65" s="253"/>
      <c r="GH65" s="253"/>
      <c r="GI65" s="253"/>
      <c r="GJ65" s="253"/>
      <c r="GK65" s="253"/>
      <c r="GL65" s="253"/>
      <c r="GM65" s="253"/>
      <c r="GN65" s="253"/>
      <c r="GO65" s="253"/>
      <c r="GP65" s="253"/>
      <c r="GQ65" s="253"/>
      <c r="GR65" s="253"/>
      <c r="GS65" s="253"/>
      <c r="GT65" s="253"/>
      <c r="GU65" s="253"/>
      <c r="GV65" s="253"/>
      <c r="GW65" s="253"/>
      <c r="GX65" s="253"/>
      <c r="GY65" s="253"/>
      <c r="GZ65" s="253"/>
      <c r="HA65" s="253"/>
      <c r="HB65" s="253"/>
      <c r="HC65" s="253"/>
      <c r="HD65" s="253"/>
      <c r="HE65" s="253"/>
      <c r="HF65" s="253"/>
      <c r="HG65" s="253"/>
      <c r="HH65" s="253"/>
      <c r="HI65" s="253"/>
      <c r="HJ65" s="253"/>
      <c r="HK65" s="253"/>
      <c r="HL65" s="253"/>
      <c r="HM65" s="253"/>
      <c r="HN65" s="253"/>
      <c r="HO65" s="253"/>
      <c r="HP65" s="253"/>
      <c r="HQ65" s="253"/>
      <c r="HR65" s="253"/>
      <c r="HS65" s="253"/>
      <c r="HT65" s="253"/>
      <c r="HU65" s="253"/>
      <c r="HV65" s="253"/>
      <c r="HW65" s="253"/>
      <c r="HX65" s="253"/>
      <c r="HY65" s="253"/>
      <c r="HZ65" s="253"/>
      <c r="IA65" s="253"/>
      <c r="IB65" s="253"/>
      <c r="IC65" s="253"/>
      <c r="ID65" s="253"/>
      <c r="IE65" s="253"/>
      <c r="IF65" s="253"/>
      <c r="IG65" s="253"/>
      <c r="IH65" s="253"/>
      <c r="II65" s="253"/>
      <c r="IJ65" s="253"/>
      <c r="IK65" s="253"/>
      <c r="IL65" s="253"/>
      <c r="IM65" s="253"/>
      <c r="IN65" s="253"/>
      <c r="IO65" s="253"/>
      <c r="IP65" s="253"/>
      <c r="IQ65" s="253"/>
      <c r="IR65" s="253"/>
      <c r="IS65" s="253"/>
      <c r="IT65" s="253"/>
      <c r="IU65" s="253"/>
    </row>
    <row r="66" spans="1:255" s="254" customFormat="1" ht="12.75" x14ac:dyDescent="0.2">
      <c r="A66" s="255" t="s">
        <v>504</v>
      </c>
      <c r="B66" s="256" t="s">
        <v>476</v>
      </c>
      <c r="C66" s="257" t="s">
        <v>477</v>
      </c>
      <c r="D66" s="258" t="s">
        <v>430</v>
      </c>
      <c r="E66" s="259">
        <v>1.02</v>
      </c>
      <c r="F66" s="260"/>
      <c r="G66" s="261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>
        <v>4732</v>
      </c>
      <c r="V66" s="253"/>
      <c r="W66" s="253"/>
      <c r="X66" s="253"/>
      <c r="Y66" s="253"/>
      <c r="Z66" s="253"/>
      <c r="AA66" s="253"/>
      <c r="AB66" s="253"/>
      <c r="AC66" s="253"/>
      <c r="AD66" s="253"/>
      <c r="AE66" s="253"/>
      <c r="AF66" s="253"/>
      <c r="AG66" s="253"/>
      <c r="AH66" s="253"/>
      <c r="AI66" s="253"/>
      <c r="AJ66" s="253"/>
      <c r="AK66" s="253"/>
      <c r="AL66" s="253"/>
      <c r="AM66" s="253"/>
      <c r="AN66" s="253"/>
      <c r="AO66" s="253"/>
      <c r="AP66" s="253"/>
      <c r="AQ66" s="253"/>
      <c r="AR66" s="253"/>
      <c r="AS66" s="253"/>
      <c r="AT66" s="253"/>
      <c r="AU66" s="253"/>
      <c r="AV66" s="253"/>
      <c r="AW66" s="253"/>
      <c r="AX66" s="253"/>
      <c r="AY66" s="253"/>
      <c r="AZ66" s="253"/>
      <c r="BA66" s="253"/>
      <c r="BB66" s="253"/>
      <c r="BC66" s="253"/>
      <c r="BD66" s="253"/>
      <c r="BE66" s="253"/>
      <c r="BF66" s="253"/>
      <c r="BG66" s="253"/>
      <c r="BH66" s="253"/>
      <c r="BI66" s="253"/>
      <c r="BJ66" s="253"/>
      <c r="BK66" s="253"/>
      <c r="BL66" s="253"/>
      <c r="BM66" s="253"/>
      <c r="BN66" s="253"/>
      <c r="BO66" s="253"/>
      <c r="BP66" s="253"/>
      <c r="BQ66" s="253"/>
      <c r="BR66" s="253"/>
      <c r="BS66" s="253"/>
      <c r="BT66" s="253"/>
      <c r="BU66" s="253"/>
      <c r="BV66" s="253"/>
      <c r="BW66" s="253"/>
      <c r="BX66" s="253"/>
      <c r="BY66" s="253"/>
      <c r="BZ66" s="253"/>
      <c r="CA66" s="253"/>
      <c r="CB66" s="253"/>
      <c r="CC66" s="253"/>
      <c r="CD66" s="253"/>
      <c r="CE66" s="253"/>
      <c r="CF66" s="253"/>
      <c r="CG66" s="253"/>
      <c r="CH66" s="253"/>
      <c r="CI66" s="253"/>
      <c r="CJ66" s="253"/>
      <c r="CK66" s="253"/>
      <c r="CL66" s="253"/>
      <c r="CM66" s="253"/>
      <c r="CN66" s="253"/>
      <c r="CO66" s="253"/>
      <c r="CP66" s="253"/>
      <c r="CQ66" s="253"/>
      <c r="CR66" s="253"/>
      <c r="CS66" s="253"/>
      <c r="CT66" s="253"/>
      <c r="CU66" s="253"/>
      <c r="CV66" s="253"/>
      <c r="CW66" s="253"/>
      <c r="CX66" s="253"/>
      <c r="CY66" s="253"/>
      <c r="CZ66" s="253"/>
      <c r="DA66" s="253"/>
      <c r="DB66" s="253"/>
      <c r="DC66" s="253"/>
      <c r="DD66" s="253"/>
      <c r="DE66" s="253"/>
      <c r="DF66" s="253"/>
      <c r="DG66" s="253"/>
      <c r="DH66" s="253"/>
      <c r="DI66" s="253">
        <v>3479.41</v>
      </c>
      <c r="DJ66" s="253"/>
      <c r="DK66" s="253"/>
      <c r="DL66" s="262">
        <v>3479.41</v>
      </c>
      <c r="DM66" s="253">
        <v>4732</v>
      </c>
      <c r="DN66" s="253"/>
      <c r="DO66" s="253"/>
      <c r="DP66" s="253"/>
      <c r="DQ66" s="253"/>
      <c r="DR66" s="253"/>
      <c r="DS66" s="253"/>
      <c r="DT66" s="253"/>
      <c r="DU66" s="253"/>
      <c r="DV66" s="253"/>
      <c r="DW66" s="253"/>
      <c r="DX66" s="253"/>
      <c r="DY66" s="253"/>
      <c r="DZ66" s="253"/>
      <c r="EA66" s="253"/>
      <c r="EB66" s="253"/>
      <c r="EC66" s="253"/>
      <c r="ED66" s="253"/>
      <c r="EE66" s="253"/>
      <c r="EF66" s="253"/>
      <c r="EG66" s="253"/>
      <c r="EH66" s="253"/>
      <c r="EI66" s="253"/>
      <c r="EJ66" s="253"/>
      <c r="EK66" s="253"/>
      <c r="EL66" s="253"/>
      <c r="EM66" s="253"/>
      <c r="EN66" s="253"/>
      <c r="EO66" s="253"/>
      <c r="EP66" s="253"/>
      <c r="EQ66" s="253"/>
      <c r="ER66" s="253"/>
      <c r="ES66" s="253"/>
      <c r="ET66" s="253"/>
      <c r="EU66" s="253"/>
      <c r="EV66" s="253"/>
      <c r="EW66" s="253"/>
      <c r="EX66" s="253"/>
      <c r="EY66" s="253"/>
      <c r="EZ66" s="253"/>
      <c r="FA66" s="253"/>
      <c r="FB66" s="253"/>
      <c r="FC66" s="253"/>
      <c r="FD66" s="253"/>
      <c r="FE66" s="253"/>
      <c r="FF66" s="253"/>
      <c r="FG66" s="253"/>
      <c r="FH66" s="253"/>
      <c r="FI66" s="253"/>
      <c r="FJ66" s="253"/>
      <c r="FK66" s="253"/>
      <c r="FL66" s="253"/>
      <c r="FM66" s="253"/>
      <c r="FN66" s="253"/>
      <c r="FO66" s="253"/>
      <c r="FP66" s="253"/>
      <c r="FQ66" s="253"/>
      <c r="FR66" s="253"/>
      <c r="FS66" s="253"/>
      <c r="FT66" s="253"/>
      <c r="FU66" s="253"/>
      <c r="FV66" s="253"/>
      <c r="FW66" s="253"/>
      <c r="FX66" s="253"/>
      <c r="FY66" s="253"/>
      <c r="FZ66" s="253"/>
      <c r="GA66" s="253"/>
      <c r="GB66" s="253"/>
      <c r="GC66" s="253"/>
      <c r="GD66" s="253"/>
      <c r="GE66" s="253"/>
      <c r="GF66" s="253"/>
      <c r="GG66" s="253"/>
      <c r="GH66" s="253"/>
      <c r="GI66" s="253"/>
      <c r="GJ66" s="253"/>
      <c r="GK66" s="253"/>
      <c r="GL66" s="253"/>
      <c r="GM66" s="253"/>
      <c r="GN66" s="253"/>
      <c r="GO66" s="253"/>
      <c r="GP66" s="253"/>
      <c r="GQ66" s="253"/>
      <c r="GR66" s="253"/>
      <c r="GS66" s="253"/>
      <c r="GT66" s="253"/>
      <c r="GU66" s="253"/>
      <c r="GV66" s="253"/>
      <c r="GW66" s="253"/>
      <c r="GX66" s="253"/>
      <c r="GY66" s="253"/>
      <c r="GZ66" s="253"/>
      <c r="HA66" s="253"/>
      <c r="HB66" s="253"/>
      <c r="HC66" s="253"/>
      <c r="HD66" s="253"/>
      <c r="HE66" s="253"/>
      <c r="HF66" s="253"/>
      <c r="HG66" s="253"/>
      <c r="HH66" s="253"/>
      <c r="HI66" s="253"/>
      <c r="HJ66" s="253"/>
      <c r="HK66" s="253"/>
      <c r="HL66" s="253"/>
      <c r="HM66" s="253"/>
      <c r="HN66" s="253"/>
      <c r="HO66" s="253"/>
      <c r="HP66" s="253"/>
      <c r="HQ66" s="253"/>
      <c r="HR66" s="253"/>
      <c r="HS66" s="253"/>
      <c r="HT66" s="253"/>
      <c r="HU66" s="253"/>
      <c r="HV66" s="253"/>
      <c r="HW66" s="253"/>
      <c r="HX66" s="253"/>
      <c r="HY66" s="253"/>
      <c r="HZ66" s="253"/>
      <c r="IA66" s="253"/>
      <c r="IB66" s="253"/>
      <c r="IC66" s="253"/>
      <c r="ID66" s="253"/>
      <c r="IE66" s="253"/>
      <c r="IF66" s="253"/>
      <c r="IG66" s="253"/>
      <c r="IH66" s="253"/>
      <c r="II66" s="253"/>
      <c r="IJ66" s="253"/>
      <c r="IK66" s="253"/>
      <c r="IL66" s="253"/>
      <c r="IM66" s="253"/>
      <c r="IN66" s="253"/>
      <c r="IO66" s="253"/>
      <c r="IP66" s="253"/>
      <c r="IQ66" s="253"/>
      <c r="IR66" s="253"/>
      <c r="IS66" s="253"/>
      <c r="IT66" s="253"/>
      <c r="IU66" s="253"/>
    </row>
    <row r="67" spans="1:255" s="274" customFormat="1" x14ac:dyDescent="0.2">
      <c r="A67" s="246"/>
      <c r="B67" s="247"/>
      <c r="C67" s="308" t="s">
        <v>505</v>
      </c>
      <c r="D67" s="249"/>
      <c r="E67" s="250"/>
      <c r="F67" s="272"/>
      <c r="G67" s="310"/>
    </row>
    <row r="68" spans="1:255" s="274" customFormat="1" ht="23.25" customHeight="1" x14ac:dyDescent="0.2">
      <c r="A68" s="289"/>
      <c r="B68" s="290"/>
      <c r="C68" s="309" t="s">
        <v>506</v>
      </c>
      <c r="D68" s="291"/>
      <c r="E68" s="292"/>
      <c r="F68" s="293"/>
      <c r="G68" s="325"/>
    </row>
    <row r="69" spans="1:255" s="294" customFormat="1" ht="18.75" x14ac:dyDescent="0.3">
      <c r="C69" s="295"/>
      <c r="D69" s="295"/>
      <c r="E69" s="295"/>
      <c r="F69" s="296"/>
      <c r="G69" s="296"/>
    </row>
    <row r="70" spans="1:255" s="294" customFormat="1" ht="18.75" x14ac:dyDescent="0.3">
      <c r="C70" s="295"/>
      <c r="D70" s="295"/>
      <c r="E70" s="295"/>
      <c r="F70" s="296"/>
      <c r="G70" s="296"/>
    </row>
    <row r="71" spans="1:255" s="297" customFormat="1" x14ac:dyDescent="0.3">
      <c r="B71" s="298"/>
      <c r="C71" s="402" t="s">
        <v>512</v>
      </c>
      <c r="D71" s="402"/>
      <c r="E71" s="402"/>
      <c r="F71" s="299"/>
      <c r="G71" s="300"/>
    </row>
    <row r="72" spans="1:255" s="294" customFormat="1" ht="31.5" customHeight="1" x14ac:dyDescent="0.3">
      <c r="A72" s="301"/>
      <c r="B72" s="302"/>
      <c r="C72" s="399" t="s">
        <v>466</v>
      </c>
      <c r="D72" s="399"/>
      <c r="E72" s="399"/>
      <c r="F72" s="399"/>
      <c r="G72" s="399"/>
    </row>
    <row r="73" spans="1:255" s="294" customFormat="1" ht="16.899999999999999" customHeight="1" x14ac:dyDescent="0.3">
      <c r="A73" s="301"/>
      <c r="B73" s="302"/>
      <c r="C73" s="399" t="s">
        <v>510</v>
      </c>
      <c r="D73" s="399"/>
      <c r="E73" s="399"/>
      <c r="F73" s="399"/>
      <c r="G73" s="399"/>
    </row>
    <row r="74" spans="1:255" s="294" customFormat="1" x14ac:dyDescent="0.3">
      <c r="A74" s="301"/>
      <c r="B74" s="302"/>
      <c r="C74" s="303" t="s">
        <v>414</v>
      </c>
      <c r="D74" s="303"/>
      <c r="E74" s="303"/>
      <c r="F74" s="304"/>
      <c r="G74" s="305"/>
    </row>
    <row r="75" spans="1:255" s="294" customFormat="1" x14ac:dyDescent="0.3">
      <c r="A75" s="301"/>
      <c r="B75" s="302"/>
      <c r="C75" s="303" t="s">
        <v>467</v>
      </c>
      <c r="D75" s="303"/>
      <c r="E75" s="303"/>
      <c r="F75" s="304"/>
      <c r="G75" s="305"/>
    </row>
    <row r="76" spans="1:255" s="294" customFormat="1" ht="33.75" customHeight="1" x14ac:dyDescent="0.3">
      <c r="A76" s="301"/>
      <c r="B76" s="302"/>
      <c r="C76" s="399" t="s">
        <v>453</v>
      </c>
      <c r="D76" s="399"/>
      <c r="E76" s="399"/>
      <c r="F76" s="399"/>
      <c r="G76" s="399"/>
    </row>
    <row r="77" spans="1:255" s="294" customFormat="1" x14ac:dyDescent="0.3">
      <c r="A77" s="301"/>
      <c r="B77" s="302"/>
      <c r="C77" s="303" t="s">
        <v>415</v>
      </c>
      <c r="D77" s="303"/>
      <c r="E77" s="303"/>
      <c r="F77" s="304"/>
      <c r="G77" s="305"/>
    </row>
    <row r="78" spans="1:255" s="294" customFormat="1" x14ac:dyDescent="0.3">
      <c r="A78" s="301"/>
      <c r="B78" s="302"/>
      <c r="C78" s="303" t="s">
        <v>416</v>
      </c>
      <c r="D78" s="303"/>
      <c r="E78" s="303"/>
      <c r="F78" s="304"/>
      <c r="G78" s="305"/>
    </row>
    <row r="79" spans="1:255" s="294" customFormat="1" ht="51.75" customHeight="1" x14ac:dyDescent="0.3">
      <c r="A79" s="301"/>
      <c r="B79" s="302"/>
      <c r="C79" s="399" t="s">
        <v>511</v>
      </c>
      <c r="D79" s="399"/>
      <c r="E79" s="399"/>
      <c r="F79" s="399"/>
      <c r="G79" s="399"/>
    </row>
    <row r="80" spans="1:255" ht="36" customHeight="1" x14ac:dyDescent="0.3">
      <c r="A80" s="217"/>
      <c r="B80" s="218"/>
      <c r="C80" s="415" t="s">
        <v>435</v>
      </c>
      <c r="D80" s="415"/>
      <c r="E80" s="415"/>
      <c r="F80" s="415"/>
      <c r="G80" s="415"/>
    </row>
    <row r="81" spans="1:7" ht="41.25" customHeight="1" x14ac:dyDescent="0.3">
      <c r="A81" s="217"/>
      <c r="B81" s="218"/>
      <c r="C81" s="415" t="s">
        <v>436</v>
      </c>
      <c r="D81" s="415"/>
      <c r="E81" s="415"/>
      <c r="F81" s="415"/>
      <c r="G81" s="415"/>
    </row>
    <row r="82" spans="1:7" ht="36" customHeight="1" x14ac:dyDescent="0.3">
      <c r="A82" s="217"/>
      <c r="B82" s="218"/>
      <c r="C82" s="414" t="s">
        <v>509</v>
      </c>
      <c r="D82" s="414"/>
      <c r="E82" s="414"/>
      <c r="F82" s="414"/>
      <c r="G82" s="414"/>
    </row>
    <row r="83" spans="1:7" x14ac:dyDescent="0.3">
      <c r="A83" s="217"/>
      <c r="B83" s="218"/>
      <c r="C83" s="415" t="s">
        <v>432</v>
      </c>
      <c r="D83" s="415"/>
      <c r="E83" s="415"/>
      <c r="F83" s="415"/>
      <c r="G83" s="415"/>
    </row>
    <row r="84" spans="1:7" x14ac:dyDescent="0.3">
      <c r="A84" s="217"/>
      <c r="B84" s="218"/>
      <c r="C84" s="416" t="s">
        <v>437</v>
      </c>
      <c r="D84" s="416"/>
      <c r="E84" s="416"/>
      <c r="F84" s="416"/>
      <c r="G84" s="416"/>
    </row>
    <row r="85" spans="1:7" x14ac:dyDescent="0.3">
      <c r="A85" s="217"/>
      <c r="B85" s="218"/>
      <c r="C85" s="416" t="s">
        <v>446</v>
      </c>
      <c r="D85" s="416"/>
      <c r="E85" s="416"/>
      <c r="F85" s="416"/>
      <c r="G85" s="234"/>
    </row>
    <row r="86" spans="1:7" ht="84" customHeight="1" x14ac:dyDescent="0.3">
      <c r="A86" s="217"/>
      <c r="B86" s="218"/>
      <c r="C86" s="415" t="s">
        <v>438</v>
      </c>
      <c r="D86" s="415"/>
      <c r="E86" s="415"/>
      <c r="F86" s="415"/>
      <c r="G86" s="415"/>
    </row>
    <row r="87" spans="1:7" x14ac:dyDescent="0.3">
      <c r="A87" s="217"/>
      <c r="B87" s="217"/>
      <c r="C87" s="233" t="s">
        <v>439</v>
      </c>
      <c r="D87" s="235"/>
      <c r="E87" s="235"/>
      <c r="F87" s="232"/>
      <c r="G87" s="232"/>
    </row>
    <row r="88" spans="1:7" ht="16.5" customHeight="1" x14ac:dyDescent="0.3">
      <c r="A88" s="217"/>
      <c r="B88" s="217"/>
      <c r="C88" s="233" t="s">
        <v>447</v>
      </c>
      <c r="D88" s="235"/>
      <c r="E88" s="235"/>
      <c r="F88" s="232"/>
      <c r="G88" s="232"/>
    </row>
    <row r="89" spans="1:7" x14ac:dyDescent="0.3">
      <c r="A89" s="217"/>
      <c r="B89" s="217"/>
      <c r="C89" s="417" t="s">
        <v>417</v>
      </c>
      <c r="D89" s="417"/>
      <c r="E89" s="417"/>
      <c r="F89" s="417"/>
      <c r="G89" s="417"/>
    </row>
    <row r="90" spans="1:7" x14ac:dyDescent="0.3">
      <c r="A90" s="236"/>
      <c r="B90" s="236"/>
      <c r="C90" s="412" t="s">
        <v>418</v>
      </c>
      <c r="D90" s="412"/>
      <c r="E90" s="412"/>
      <c r="F90" s="412"/>
      <c r="G90" s="412"/>
    </row>
    <row r="91" spans="1:7" x14ac:dyDescent="0.3">
      <c r="A91" s="237"/>
      <c r="B91" s="237"/>
      <c r="C91" s="413" t="s">
        <v>419</v>
      </c>
      <c r="D91" s="413"/>
      <c r="E91" s="413"/>
      <c r="F91" s="413"/>
      <c r="G91" s="413"/>
    </row>
    <row r="92" spans="1:7" x14ac:dyDescent="0.3">
      <c r="A92" s="237"/>
      <c r="B92" s="237"/>
      <c r="C92" s="413" t="s">
        <v>420</v>
      </c>
      <c r="D92" s="413"/>
      <c r="E92" s="413"/>
      <c r="F92" s="413"/>
      <c r="G92" s="413"/>
    </row>
    <row r="93" spans="1:7" x14ac:dyDescent="0.3">
      <c r="A93" s="237"/>
      <c r="B93" s="237"/>
      <c r="C93" s="199" t="s">
        <v>421</v>
      </c>
      <c r="D93" s="199"/>
      <c r="E93" s="199"/>
      <c r="F93" s="200"/>
      <c r="G93" s="238"/>
    </row>
    <row r="94" spans="1:7" x14ac:dyDescent="0.3">
      <c r="A94" s="237"/>
      <c r="B94" s="237"/>
      <c r="C94" s="202" t="s">
        <v>422</v>
      </c>
      <c r="D94" s="202"/>
      <c r="E94" s="202"/>
      <c r="F94" s="201"/>
      <c r="G94" s="239"/>
    </row>
    <row r="95" spans="1:7" x14ac:dyDescent="0.3">
      <c r="A95" s="237"/>
      <c r="B95" s="237"/>
      <c r="C95" s="202" t="s">
        <v>423</v>
      </c>
      <c r="D95" s="202"/>
      <c r="E95" s="202"/>
      <c r="F95" s="201"/>
      <c r="G95" s="239"/>
    </row>
    <row r="96" spans="1:7" x14ac:dyDescent="0.3">
      <c r="A96" s="237"/>
      <c r="B96" s="237"/>
      <c r="C96" s="202" t="s">
        <v>448</v>
      </c>
      <c r="D96" s="202"/>
      <c r="E96" s="202"/>
      <c r="F96" s="201"/>
      <c r="G96" s="239"/>
    </row>
    <row r="97" spans="1:7" x14ac:dyDescent="0.3">
      <c r="A97" s="240"/>
      <c r="B97" s="240"/>
      <c r="C97" s="202" t="s">
        <v>424</v>
      </c>
      <c r="D97" s="202"/>
      <c r="E97" s="202"/>
      <c r="F97" s="201"/>
      <c r="G97" s="239"/>
    </row>
    <row r="98" spans="1:7" x14ac:dyDescent="0.3">
      <c r="A98" s="241"/>
      <c r="B98" s="241"/>
      <c r="C98" s="202" t="s">
        <v>425</v>
      </c>
      <c r="D98" s="202"/>
      <c r="E98" s="202"/>
      <c r="F98" s="201"/>
      <c r="G98" s="239"/>
    </row>
    <row r="99" spans="1:7" x14ac:dyDescent="0.3">
      <c r="A99" s="241"/>
      <c r="B99" s="241"/>
      <c r="C99" s="202" t="s">
        <v>440</v>
      </c>
      <c r="D99" s="202"/>
      <c r="E99" s="202"/>
      <c r="F99" s="201"/>
      <c r="G99" s="239"/>
    </row>
    <row r="100" spans="1:7" x14ac:dyDescent="0.3">
      <c r="A100" s="241"/>
      <c r="B100" s="241"/>
      <c r="C100" s="202" t="s">
        <v>426</v>
      </c>
      <c r="D100" s="202"/>
      <c r="E100" s="202"/>
      <c r="F100" s="201"/>
      <c r="G100" s="239"/>
    </row>
    <row r="101" spans="1:7" x14ac:dyDescent="0.3">
      <c r="A101" s="241"/>
      <c r="B101" s="241"/>
      <c r="C101" s="202" t="s">
        <v>427</v>
      </c>
      <c r="D101" s="202"/>
      <c r="E101" s="202"/>
      <c r="F101" s="201"/>
      <c r="G101" s="239"/>
    </row>
    <row r="102" spans="1:7" x14ac:dyDescent="0.3">
      <c r="A102" s="241"/>
      <c r="B102" s="241"/>
      <c r="C102" s="412" t="s">
        <v>428</v>
      </c>
      <c r="D102" s="412"/>
      <c r="E102" s="412"/>
      <c r="F102" s="412"/>
      <c r="G102" s="412"/>
    </row>
    <row r="103" spans="1:7" x14ac:dyDescent="0.3">
      <c r="A103" s="241"/>
      <c r="B103" s="241"/>
      <c r="C103" s="417" t="s">
        <v>429</v>
      </c>
      <c r="D103" s="417"/>
      <c r="E103" s="417"/>
      <c r="F103" s="417"/>
      <c r="G103" s="417"/>
    </row>
    <row r="104" spans="1:7" ht="16.5" customHeight="1" x14ac:dyDescent="0.3">
      <c r="A104" s="241"/>
      <c r="B104" s="241"/>
      <c r="C104" s="212"/>
      <c r="D104" s="212"/>
      <c r="E104" s="212"/>
      <c r="F104" s="213"/>
      <c r="G104" s="213"/>
    </row>
    <row r="105" spans="1:7" x14ac:dyDescent="0.3">
      <c r="A105" s="242"/>
      <c r="B105" s="242"/>
      <c r="C105" s="243" t="s">
        <v>507</v>
      </c>
      <c r="D105" s="243"/>
      <c r="E105" s="243"/>
      <c r="F105" s="221" t="s">
        <v>508</v>
      </c>
    </row>
    <row r="106" spans="1:7" x14ac:dyDescent="0.3">
      <c r="A106" s="245"/>
      <c r="B106" s="245"/>
      <c r="C106" s="212"/>
      <c r="D106" s="212"/>
      <c r="E106" s="212"/>
      <c r="F106" s="213"/>
      <c r="G106" s="213"/>
    </row>
  </sheetData>
  <mergeCells count="47">
    <mergeCell ref="C102:G102"/>
    <mergeCell ref="C103:G103"/>
    <mergeCell ref="C79:G79"/>
    <mergeCell ref="C80:G80"/>
    <mergeCell ref="C81:G81"/>
    <mergeCell ref="C76:G76"/>
    <mergeCell ref="C90:G90"/>
    <mergeCell ref="C91:G91"/>
    <mergeCell ref="C92:G92"/>
    <mergeCell ref="C82:G82"/>
    <mergeCell ref="C83:G83"/>
    <mergeCell ref="C84:G84"/>
    <mergeCell ref="C85:F85"/>
    <mergeCell ref="C86:G86"/>
    <mergeCell ref="C89:G89"/>
    <mergeCell ref="A9:B9"/>
    <mergeCell ref="C11:G11"/>
    <mergeCell ref="F14:F15"/>
    <mergeCell ref="G14:G15"/>
    <mergeCell ref="A17:G17"/>
    <mergeCell ref="A14:A15"/>
    <mergeCell ref="B14:B15"/>
    <mergeCell ref="C14:C15"/>
    <mergeCell ref="D14:D15"/>
    <mergeCell ref="E14:E15"/>
    <mergeCell ref="C9:G9"/>
    <mergeCell ref="A18:B18"/>
    <mergeCell ref="C18:G18"/>
    <mergeCell ref="A27:B27"/>
    <mergeCell ref="C27:G27"/>
    <mergeCell ref="C73:G73"/>
    <mergeCell ref="A35:B35"/>
    <mergeCell ref="C35:G35"/>
    <mergeCell ref="A45:B45"/>
    <mergeCell ref="C45:G45"/>
    <mergeCell ref="A53:B53"/>
    <mergeCell ref="C53:G53"/>
    <mergeCell ref="A60:B60"/>
    <mergeCell ref="C60:G60"/>
    <mergeCell ref="A44:G44"/>
    <mergeCell ref="C71:E71"/>
    <mergeCell ref="C72:G72"/>
    <mergeCell ref="E1:G1"/>
    <mergeCell ref="E2:G2"/>
    <mergeCell ref="A6:G6"/>
    <mergeCell ref="F7:G7"/>
    <mergeCell ref="C8:G8"/>
  </mergeCells>
  <printOptions horizontalCentered="1"/>
  <pageMargins left="0.19685039370078741" right="0.19685039370078741" top="0.35433070866141736" bottom="0.19685039370078741" header="0.11811023622047245" footer="0.11811023622047245"/>
  <pageSetup paperSize="9" scale="86" fitToHeight="1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0"/>
  <sheetViews>
    <sheetView workbookViewId="0"/>
  </sheetViews>
  <sheetFormatPr defaultRowHeight="12.75" x14ac:dyDescent="0.2"/>
  <sheetData>
    <row r="1" spans="1:255" x14ac:dyDescent="0.2">
      <c r="B1" t="s">
        <v>199</v>
      </c>
    </row>
    <row r="3" spans="1:255" x14ac:dyDescent="0.2">
      <c r="A3">
        <v>3</v>
      </c>
      <c r="B3" t="s">
        <v>200</v>
      </c>
    </row>
    <row r="4" spans="1:255" x14ac:dyDescent="0.2">
      <c r="A4">
        <v>2</v>
      </c>
      <c r="B4" t="s">
        <v>201</v>
      </c>
    </row>
    <row r="5" spans="1:255" x14ac:dyDescent="0.2">
      <c r="A5">
        <v>0</v>
      </c>
      <c r="B5" t="s">
        <v>202</v>
      </c>
    </row>
    <row r="6" spans="1:255" x14ac:dyDescent="0.2">
      <c r="A6">
        <v>2</v>
      </c>
      <c r="B6" t="s">
        <v>203</v>
      </c>
    </row>
    <row r="7" spans="1:255" x14ac:dyDescent="0.2">
      <c r="A7">
        <v>0</v>
      </c>
      <c r="B7" t="s">
        <v>204</v>
      </c>
    </row>
    <row r="8" spans="1:255" x14ac:dyDescent="0.2">
      <c r="A8">
        <v>2</v>
      </c>
      <c r="B8" t="s">
        <v>205</v>
      </c>
    </row>
    <row r="9" spans="1:255" x14ac:dyDescent="0.2">
      <c r="A9">
        <v>0</v>
      </c>
      <c r="B9" t="s">
        <v>206</v>
      </c>
    </row>
    <row r="13" spans="1:255" x14ac:dyDescent="0.2">
      <c r="A13">
        <v>3</v>
      </c>
      <c r="B13" t="s">
        <v>266</v>
      </c>
      <c r="D13" t="s">
        <v>267</v>
      </c>
      <c r="F13" t="s">
        <v>268</v>
      </c>
    </row>
    <row r="14" spans="1:255" x14ac:dyDescent="0.2">
      <c r="A14">
        <v>513</v>
      </c>
      <c r="B14" t="s">
        <v>281</v>
      </c>
      <c r="D14" t="s">
        <v>267</v>
      </c>
      <c r="F14" t="s">
        <v>268</v>
      </c>
      <c r="AY14">
        <f>SUM('1.Лок.смета.и.Акт'!AS47:'1.Лок.смета.и.Акт'!AS79)</f>
        <v>0</v>
      </c>
      <c r="AZ14">
        <f>SUM('1.Лок.смета.и.Акт'!AT47:'1.Лок.смета.и.Акт'!AT79)</f>
        <v>0</v>
      </c>
      <c r="BA14">
        <f>SUM('1.Лок.смета.и.Акт'!AU47:'1.Лок.смета.и.Акт'!AU79)</f>
        <v>0</v>
      </c>
      <c r="BB14">
        <f>SUM('1.Лок.смета.и.Акт'!AV47:'1.Лок.смета.и.Акт'!AV79)</f>
        <v>0</v>
      </c>
      <c r="BC14">
        <f>SUM('1.Лок.смета.и.Акт'!AW47:'1.Лок.смета.и.Акт'!AW79)</f>
        <v>0</v>
      </c>
      <c r="BD14">
        <f>SUM('1.Лок.смета.и.Акт'!AX47:'1.Лок.смета.и.Акт'!AX79)</f>
        <v>0</v>
      </c>
      <c r="CW14">
        <f>Source!DM34</f>
        <v>278.18263499999995</v>
      </c>
      <c r="CX14">
        <f>Source!DN34</f>
        <v>95.796950999999993</v>
      </c>
      <c r="CY14">
        <f>Source!DG34</f>
        <v>244662</v>
      </c>
      <c r="CZ14">
        <f>Source!DK34</f>
        <v>55455</v>
      </c>
      <c r="DA14">
        <f>Source!DI34</f>
        <v>189207</v>
      </c>
      <c r="DB14">
        <f>Source!DJ34</f>
        <v>23899</v>
      </c>
      <c r="DC14">
        <f>Source!DH34</f>
        <v>0</v>
      </c>
      <c r="DD14">
        <f>Source!EG34</f>
        <v>0</v>
      </c>
      <c r="DE14">
        <f>Source!EN34</f>
        <v>0</v>
      </c>
      <c r="DF14">
        <f>Source!EO34</f>
        <v>0</v>
      </c>
      <c r="DG14">
        <f>Source!EP34</f>
        <v>0</v>
      </c>
      <c r="DH14">
        <f>Source!EQ34</f>
        <v>0</v>
      </c>
      <c r="DI14">
        <f>Source!EH34</f>
        <v>0</v>
      </c>
      <c r="DJ14">
        <f>Source!EI34</f>
        <v>0</v>
      </c>
      <c r="DK14">
        <f>Source!ER34</f>
        <v>0</v>
      </c>
      <c r="DL14">
        <f>Source!DL34</f>
        <v>0</v>
      </c>
      <c r="DM14">
        <f>Source!DO34</f>
        <v>0</v>
      </c>
      <c r="DN14">
        <f>Source!DP34</f>
        <v>63981</v>
      </c>
      <c r="DO14">
        <f>Source!DQ34</f>
        <v>31466</v>
      </c>
      <c r="DP14">
        <f>Source!EJ34</f>
        <v>340109</v>
      </c>
      <c r="DQ14">
        <f>Source!EK34</f>
        <v>340109</v>
      </c>
      <c r="DR14">
        <f>Source!EL34</f>
        <v>0</v>
      </c>
      <c r="DS14">
        <f>Source!EH34</f>
        <v>0</v>
      </c>
      <c r="DT14">
        <f>Source!EM34</f>
        <v>0</v>
      </c>
      <c r="DU14">
        <f>Source!EK34+Source!EL34</f>
        <v>340109</v>
      </c>
      <c r="DW14">
        <f>Source!ES34</f>
        <v>0</v>
      </c>
      <c r="DX14">
        <f>Source!ET34</f>
        <v>0</v>
      </c>
      <c r="DY14">
        <f>Source!EU34</f>
        <v>0</v>
      </c>
      <c r="DZ14">
        <f>Source!EV34</f>
        <v>116807</v>
      </c>
      <c r="ET14">
        <f>Source!DM34</f>
        <v>278.18263499999995</v>
      </c>
      <c r="EU14">
        <f>Source!DN34</f>
        <v>95.796950999999993</v>
      </c>
      <c r="EV14">
        <f>SUM('1.Лок.смета.и.Акт'!GJ47:'1.Лок.смета.и.Акт'!GJ79)</f>
        <v>29890</v>
      </c>
      <c r="EW14">
        <f>SUM('1.Лок.смета.и.Акт'!GK47:'1.Лок.смета.и.Акт'!GK79)</f>
        <v>2189</v>
      </c>
      <c r="EX14">
        <f>SUM('1.Лок.смета.и.Акт'!GL47:'1.Лок.смета.и.Акт'!GL79)</f>
        <v>27701</v>
      </c>
      <c r="EY14">
        <f>SUM('1.Лок.смета.и.Акт'!GM47:'1.Лок.смета.и.Акт'!GM79)</f>
        <v>1304</v>
      </c>
      <c r="EZ14">
        <f>SUM('1.Лок.смета.и.Акт'!GN47:'1.Лок.смета.и.Акт'!GN79)</f>
        <v>0</v>
      </c>
      <c r="FA14">
        <f>SUM('1.Лок.смета.и.Акт'!GO47:'1.Лок.смета.и.Акт'!GO79)</f>
        <v>0</v>
      </c>
      <c r="FB14">
        <f>SUM('1.Лок.смета.и.Акт'!GP47:'1.Лок.смета.и.Акт'!GP79)</f>
        <v>0</v>
      </c>
      <c r="FC14">
        <f>SUM('1.Лок.смета.и.Акт'!GQ47:'1.Лок.смета.и.Акт'!GQ79)</f>
        <v>0</v>
      </c>
      <c r="FD14">
        <f>SUM('1.Лок.смета.и.Акт'!GR47:'1.Лок.смета.и.Акт'!GR79)</f>
        <v>0</v>
      </c>
      <c r="FE14">
        <f>SUM('1.Лок.смета.и.Акт'!GS47:'1.Лок.смета.и.Акт'!GS79)</f>
        <v>0</v>
      </c>
      <c r="FF14">
        <f>SUM('1.Лок.смета.и.Акт'!GT47:'1.Лок.смета.и.Акт'!GT79)</f>
        <v>0</v>
      </c>
      <c r="FG14">
        <f>SUM('1.Лок.смета.и.Акт'!GU47:'1.Лок.смета.и.Акт'!GU79)</f>
        <v>0</v>
      </c>
      <c r="FH14">
        <f>SUM('1.Лок.смета.и.Акт'!GV47:'1.Лок.смета.и.Акт'!GV79)</f>
        <v>0</v>
      </c>
      <c r="FI14">
        <f>SUM('1.Лок.смета.и.Акт'!GW47:'1.Лок.смета.и.Акт'!GW79)</f>
        <v>0</v>
      </c>
      <c r="FJ14">
        <f>SUM('1.Лок.смета.и.Акт'!GX47:'1.Лок.смета.и.Акт'!GX79)</f>
        <v>0</v>
      </c>
      <c r="FK14">
        <f>SUM('1.Лок.смета.и.Акт'!GY47:'1.Лок.смета.и.Акт'!GY79)</f>
        <v>3004</v>
      </c>
      <c r="FL14">
        <f>SUM('1.Лок.смета.и.Акт'!GZ47:'1.Лок.смета.и.Акт'!GZ79)</f>
        <v>1643</v>
      </c>
      <c r="FM14">
        <f>SUM('1.Лок.смета.и.Акт'!HA47:'1.Лок.смета.и.Акт'!HA79)</f>
        <v>34537</v>
      </c>
      <c r="FN14">
        <f>SUM('1.Лок.смета.и.Акт'!HB47:'1.Лок.смета.и.Акт'!HB79)</f>
        <v>34537</v>
      </c>
      <c r="FO14">
        <f>SUM('1.Лок.смета.и.Акт'!HC47:'1.Лок.смета.и.Акт'!HC79)</f>
        <v>0</v>
      </c>
      <c r="FP14">
        <f>SUM('1.Лок.смета.и.Акт'!HD47:'1.Лок.смета.и.Акт'!HD79)</f>
        <v>0</v>
      </c>
      <c r="FQ14">
        <f>SUM('1.Лок.смета.и.Акт'!HE47:'1.Лок.смета.и.Акт'!HE79)</f>
        <v>0</v>
      </c>
      <c r="FR14">
        <f>'1.Лок.смета.и.Акт'!FN80+'1.Лок.смета.и.Акт'!FO80</f>
        <v>34537</v>
      </c>
      <c r="FS14">
        <f>SUM('1.Лок.смета.и.Акт'!HG47:'1.Лок.смета.и.Акт'!HG79)</f>
        <v>0</v>
      </c>
      <c r="FT14">
        <f>SUM('1.Лок.смета.и.Акт'!HH47:'1.Лок.смета.и.Акт'!HH79)</f>
        <v>0</v>
      </c>
      <c r="FU14">
        <f>SUM('1.Лок.смета.и.Акт'!HI47:'1.Лок.смета.и.Акт'!HI79)</f>
        <v>0</v>
      </c>
      <c r="FV14">
        <f>SUM('1.Лок.смета.и.Акт'!HJ47:'1.Лок.смета.и.Акт'!HJ79)</f>
        <v>0</v>
      </c>
      <c r="FW14">
        <f>SUM('1.Лок.смета.и.Акт'!HK47:'1.Лок.смета.и.Акт'!HK79)</f>
        <v>16406</v>
      </c>
      <c r="FX14">
        <f>SUMIF('1.Лок.смета.и.Акт'!CV47:'1.Лок.смета.и.Акт'!CV79,1,'1.Лок.смета.и.Акт'!GK47:'1.Лок.смета.и.Акт'!GK79)</f>
        <v>2189</v>
      </c>
      <c r="FY14">
        <f>SUMIF('1.Лок.смета.и.Акт'!CV47:'1.Лок.смета.и.Акт'!CV79,2,'1.Лок.смета.и.Акт'!GK47:'1.Лок.смета.и.Акт'!GK79)</f>
        <v>0</v>
      </c>
      <c r="FZ14">
        <f>SUMIF('1.Лок.смета.и.Акт'!CV47:'1.Лок.смета.и.Акт'!CV79,5,'1.Лок.смета.и.Акт'!GK47:'1.Лок.смета.и.Акт'!GK79)</f>
        <v>0</v>
      </c>
      <c r="GA14">
        <f>SUMIF('1.Лок.смета.и.Акт'!CV47:'1.Лок.смета.и.Акт'!CV79,4,'1.Лок.смета.и.Акт'!GK47:'1.Лок.смета.и.Акт'!GK79)</f>
        <v>0</v>
      </c>
      <c r="GB14">
        <f>SUMIF('1.Лок.смета.и.Акт'!CV47:'1.Лок.смета.и.Акт'!CV79,1,'1.Лок.смета.и.Акт'!GL47:'1.Лок.смета.и.Акт'!GL79)</f>
        <v>27701</v>
      </c>
      <c r="GC14">
        <f>SUMIF('1.Лок.смета.и.Акт'!CV47:'1.Лок.смета.и.Акт'!CV79,2,'1.Лок.смета.и.Акт'!GL47:'1.Лок.смета.и.Акт'!GL79)</f>
        <v>0</v>
      </c>
      <c r="GD14">
        <f>SUMIF('1.Лок.смета.и.Акт'!CV47:'1.Лок.смета.и.Акт'!CV79,4,'1.Лок.смета.и.Акт'!GL47:'1.Лок.смета.и.Акт'!GL79)</f>
        <v>0</v>
      </c>
      <c r="GE14">
        <f>SUMIF('1.Лок.смета.и.Акт'!CV47:'1.Лок.смета.и.Акт'!CV79,1,'1.Лок.смета.и.Акт'!GQ47:'1.Лок.смета.и.Акт'!GQ79)</f>
        <v>0</v>
      </c>
      <c r="GF14">
        <f>SUMIF('1.Лок.смета.и.Акт'!CV47:'1.Лок.смета.и.Акт'!CV79,2,'1.Лок.смета.и.Акт'!GQ47:'1.Лок.смета.и.Акт'!GQ79)</f>
        <v>0</v>
      </c>
      <c r="GG14">
        <f>SUMIF('1.Лок.смета.и.Акт'!CV47:'1.Лок.смета.и.Акт'!CV79,4,'1.Лок.смета.и.Акт'!GQ47:'1.Лок.смета.и.Акт'!GQ79)</f>
        <v>0</v>
      </c>
      <c r="IB14">
        <f>SUM('1.Лок.смета.и.Акт'!HO47:'1.Лок.смета.и.Акт'!HO79)</f>
        <v>16406</v>
      </c>
      <c r="IC14">
        <f>SUM('1.Лок.смета.и.Акт'!HQ47:'1.Лок.смета.и.Акт'!HQ79)</f>
        <v>0</v>
      </c>
      <c r="ID14">
        <f>SUM('1.Лок.смета.и.Акт'!HS47:'1.Лок.смета.и.Акт'!HS79)</f>
        <v>0</v>
      </c>
      <c r="IE14">
        <f>SUM('1.Лок.смета.и.Акт'!HU47:'1.Лок.смета.и.Акт'!HU79)</f>
        <v>0</v>
      </c>
      <c r="IF14">
        <f>SUM('1.Лок.смета.и.Акт'!HY47:'1.Лок.смета.и.Акт'!HY79)</f>
        <v>0</v>
      </c>
      <c r="IG14">
        <f>SUM('1.Лок.смета.и.Акт'!HZ47:'1.Лок.смета.и.Акт'!HZ79)</f>
        <v>0</v>
      </c>
      <c r="IH14">
        <f>SUM('1.Лок.смета.и.Акт'!HL47:'1.Лок.смета.и.Акт'!HL79)</f>
        <v>18131</v>
      </c>
      <c r="II14">
        <f>SUM('1.Лок.смета.и.Акт'!HN47:'1.Лок.смета.и.Акт'!HN79)</f>
        <v>18131</v>
      </c>
      <c r="IJ14">
        <f>SUM('1.Лок.смета.и.Акт'!HP47:'1.Лок.смета.и.Акт'!HP79)</f>
        <v>0</v>
      </c>
      <c r="IK14">
        <f>SUM('1.Лок.смета.и.Акт'!HR47:'1.Лок.смета.и.Акт'!HR79)</f>
        <v>0</v>
      </c>
      <c r="IL14">
        <f>SUM('1.Лок.смета.и.Акт'!HT47:'1.Лок.смета.и.Акт'!HT79)</f>
        <v>0</v>
      </c>
      <c r="IM14">
        <f>SUM('1.Лок.смета.и.Акт'!HW47:'1.Лок.смета.и.Акт'!HW79)</f>
        <v>0</v>
      </c>
      <c r="IN14">
        <f>SUMIF('1.Лок.смета.и.Акт'!CV47:'1.Лок.смета.и.Акт'!CV79,1,'1.Лок.смета.и.Акт'!GY47:'1.Лок.смета.и.Акт'!GY79)</f>
        <v>3004</v>
      </c>
      <c r="IO14">
        <f>SUMIF('1.Лок.смета.и.Акт'!CV47:'1.Лок.смета.и.Акт'!CV79,2,'1.Лок.смета.и.Акт'!GY47:'1.Лок.смета.и.Акт'!GY79)</f>
        <v>0</v>
      </c>
      <c r="IP14">
        <f>SUMIF('1.Лок.смета.и.Акт'!CV47:'1.Лок.смета.и.Акт'!CV79,5,'1.Лок.смета.и.Акт'!GY47:'1.Лок.смета.и.Акт'!GY79)</f>
        <v>0</v>
      </c>
      <c r="IQ14">
        <f>SUMIF('1.Лок.смета.и.Акт'!CV47:'1.Лок.смета.и.Акт'!CV79,4,'1.Лок.смета.и.Акт'!GY47:'1.Лок.смета.и.Акт'!GY79)</f>
        <v>0</v>
      </c>
      <c r="IR14">
        <f>SUMIF('1.Лок.смета.и.Акт'!CV47:'1.Лок.смета.и.Акт'!CV79,1,'1.Лок.смета.и.Акт'!GZ47:'1.Лок.смета.и.Акт'!GZ79)</f>
        <v>1643</v>
      </c>
      <c r="IS14">
        <f>SUMIF('1.Лок.смета.и.Акт'!CV47:'1.Лок.смета.и.Акт'!CV79,2,'1.Лок.смета.и.Акт'!GZ47:'1.Лок.смета.и.Акт'!GZ79)</f>
        <v>0</v>
      </c>
      <c r="IT14">
        <f>SUMIF('1.Лок.смета.и.Акт'!CV47:'1.Лок.смета.и.Акт'!CV79,5,'1.Лок.смета.и.Акт'!GZ47:'1.Лок.смета.и.Акт'!GZ79)</f>
        <v>0</v>
      </c>
      <c r="IU14">
        <f>SUMIF('1.Лок.смета.и.Акт'!CV47:'1.Лок.смета.и.Акт'!CV79,4,'1.Лок.смета.и.Акт'!GZ47:'1.Лок.смета.и.Акт'!GZ79)</f>
        <v>0</v>
      </c>
    </row>
    <row r="15" spans="1:255" x14ac:dyDescent="0.2">
      <c r="A15">
        <v>999</v>
      </c>
      <c r="B15" t="s">
        <v>340</v>
      </c>
    </row>
    <row r="80" spans="57:68" x14ac:dyDescent="0.2">
      <c r="BE80">
        <f>SUMIF('1.Лок.смета.и.Акт'!CV47:'1.Лок.смета.и.Акт'!CV79,1,'1.Лок.смета.и.Акт'!AV47:'1.Лок.смета.и.Акт'!AV79)</f>
        <v>0</v>
      </c>
      <c r="BF80">
        <f>SUMIF('1.Лок.смета.и.Акт'!CV47:'1.Лок.смета.и.Акт'!CV79,2,'1.Лок.смета.и.Акт'!AV47:'1.Лок.смета.и.Акт'!AV79)</f>
        <v>0</v>
      </c>
      <c r="BG80">
        <f>SUMIF('1.Лок.смета.и.Акт'!CV47:'1.Лок.смета.и.Акт'!CV79,5,'1.Лок.смета.и.Акт'!AV47:'1.Лок.смета.и.Акт'!AV79)</f>
        <v>0</v>
      </c>
      <c r="BH80">
        <f>SUMIF('1.Лок.смета.и.Акт'!CV47:'1.Лок.смета.и.Акт'!CV79,4,'1.Лок.смета.и.Акт'!AV47:'1.Лок.смета.и.Акт'!AV79)</f>
        <v>0</v>
      </c>
      <c r="BI80">
        <f>SUMIF('1.Лок.смета.и.Акт'!CV47:'1.Лок.смета.и.Акт'!CV79,1,'1.Лок.смета.и.Акт'!AW47:'1.Лок.смета.и.Акт'!AW79)</f>
        <v>0</v>
      </c>
      <c r="BJ80">
        <f>SUMIF('1.Лок.смета.и.Акт'!CV47:'1.Лок.смета.и.Акт'!CV79,2,'1.Лок.смета.и.Акт'!AW47:'1.Лок.смета.и.Акт'!AW79)</f>
        <v>0</v>
      </c>
      <c r="BK80">
        <f>SUMIF('1.Лок.смета.и.Акт'!CV47:'1.Лок.смета.и.Акт'!CV79,5,'1.Лок.смета.и.Акт'!AW47:'1.Лок.смета.и.Акт'!AW79)</f>
        <v>0</v>
      </c>
      <c r="BL80">
        <f>SUMIF('1.Лок.смета.и.Акт'!CV47:'1.Лок.смета.и.Акт'!CV79,4,'1.Лок.смета.и.Акт'!AW47:'1.Лок.смета.и.Акт'!AW79)</f>
        <v>0</v>
      </c>
      <c r="BM80">
        <f>SUMIF('1.Лок.смета.и.Акт'!CV47:'1.Лок.смета.и.Акт'!CV79,1,'1.Лок.смета.и.Акт'!AX47:'1.Лок.смета.и.Акт'!AX79)</f>
        <v>0</v>
      </c>
      <c r="BN80">
        <f>SUMIF('1.Лок.смета.и.Акт'!CV47:'1.Лок.смета.и.Акт'!CV79,2,'1.Лок.смета.и.Акт'!AX47:'1.Лок.смета.и.Акт'!AX79)</f>
        <v>0</v>
      </c>
      <c r="BO80">
        <f>SUMIF('1.Лок.смета.и.Акт'!CV47:'1.Лок.смета.и.Акт'!CV79,5,'1.Лок.смета.и.Акт'!AX47:'1.Лок.смета.и.Акт'!AX79)</f>
        <v>0</v>
      </c>
      <c r="BP80">
        <f>SUMIF('1.Лок.смета.и.Акт'!CV47:'1.Лок.смета.и.Акт'!CV79,4,'1.Лок.смета.и.Акт'!AX47:'1.Лок.смета.и.Акт'!AX79)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6.Ведомость_списания</vt:lpstr>
      <vt:lpstr>5.Ресурсный_расчет</vt:lpstr>
      <vt:lpstr>4.Оборудование</vt:lpstr>
      <vt:lpstr>3.Материалы</vt:lpstr>
      <vt:lpstr>2.Лок.смета.и.Акт в ЕР</vt:lpstr>
      <vt:lpstr>SourceOb.2</vt:lpstr>
      <vt:lpstr>1.Лок.смета.и.Акт</vt:lpstr>
      <vt:lpstr>ТЗ</vt:lpstr>
      <vt:lpstr>SourceOb.1</vt:lpstr>
      <vt:lpstr>Source</vt:lpstr>
      <vt:lpstr>SourceObSm</vt:lpstr>
      <vt:lpstr>SmtRes</vt:lpstr>
      <vt:lpstr>EtalonRes</vt:lpstr>
      <vt:lpstr>'1.Лок.смета.и.Акт'!Заголовки_для_печати</vt:lpstr>
      <vt:lpstr>'2.Лок.смета.и.Акт в ЕР'!Заголовки_для_печати</vt:lpstr>
      <vt:lpstr>'3.Материалы'!Заголовки_для_печати</vt:lpstr>
      <vt:lpstr>'4.Оборудование'!Заголовки_для_печати</vt:lpstr>
      <vt:lpstr>'5.Ресурсный_расчет'!Заголовки_для_печати</vt:lpstr>
      <vt:lpstr>'6.Ведомость_списания'!Заголовки_для_печати</vt:lpstr>
      <vt:lpstr>'1.Лок.смета.и.Акт'!Область_печати</vt:lpstr>
      <vt:lpstr>'2.Лок.смета.и.Акт в ЕР'!Область_печати</vt:lpstr>
      <vt:lpstr>'3.Материалы'!Область_печати</vt:lpstr>
      <vt:lpstr>'4.Оборудование'!Область_печати</vt:lpstr>
      <vt:lpstr>'5.Ресурсный_расчет'!Область_печати</vt:lpstr>
      <vt:lpstr>'6.Ведомость_списания'!Область_печати</vt:lpstr>
      <vt:lpstr>ТЗ!Область_печати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Ионова Елизавета Борисовна</dc:creator>
  <cp:lastModifiedBy>Ушакова Наталья Витальевна</cp:lastModifiedBy>
  <cp:lastPrinted>2025-07-22T11:12:35Z</cp:lastPrinted>
  <dcterms:created xsi:type="dcterms:W3CDTF">2023-05-17T13:36:26Z</dcterms:created>
  <dcterms:modified xsi:type="dcterms:W3CDTF">2025-08-06T09:26:37Z</dcterms:modified>
</cp:coreProperties>
</file>